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lair\Documents\ELK\Final Documents to File\"/>
    </mc:Choice>
  </mc:AlternateContent>
  <xr:revisionPtr revIDLastSave="0" documentId="13_ncr:1_{6AB6C8FC-6FB5-4CDE-8BA4-6A2FF0207885}" xr6:coauthVersionLast="47" xr6:coauthVersionMax="47" xr10:uidLastSave="{00000000-0000-0000-0000-000000000000}"/>
  <bookViews>
    <workbookView xWindow="-27240" yWindow="1635" windowWidth="21600" windowHeight="11385" tabRatio="865" firstSheet="3" activeTab="8" xr2:uid="{00000000-000D-0000-FFFF-FFFF00000000}"/>
  </bookViews>
  <sheets>
    <sheet name="Summary" sheetId="11" r:id="rId1"/>
    <sheet name="Data" sheetId="35" r:id="rId2"/>
    <sheet name="Rate Class Energy Model" sheetId="9" r:id="rId3"/>
    <sheet name="Rate Class Energy Model (WN)" sheetId="44" r:id="rId4"/>
    <sheet name="Rate Class Load Model" sheetId="18" r:id="rId5"/>
    <sheet name="Rate Class Customer Model" sheetId="17" r:id="rId6"/>
    <sheet name="Purchased Power Model" sheetId="39" r:id="rId7"/>
    <sheet name="Purchased Power Model (WN)" sheetId="43" r:id="rId8"/>
    <sheet name="Economic" sheetId="36" r:id="rId9"/>
    <sheet name="Purchases" sheetId="32" r:id="rId10"/>
    <sheet name="CDM" sheetId="37" r:id="rId11"/>
    <sheet name="Weather" sheetId="3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CAP1000" localSheetId="11">#REF!</definedName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'[1]Old MEA Statistics'!$B$250</definedName>
    <definedName name="_OP1000" localSheetId="11">#REF!</definedName>
    <definedName name="_OP1000">#REF!</definedName>
    <definedName name="_Order1" hidden="1">255</definedName>
    <definedName name="_Order2" hidden="1">0</definedName>
    <definedName name="_Sort" localSheetId="11" hidden="1">[2]Sheet1!$G$40:$K$40</definedName>
    <definedName name="_Sort" hidden="1">[3]Sheet1!$G$40:$K$40</definedName>
    <definedName name="ALL" localSheetId="11">#REF!</definedName>
    <definedName name="ALL">#REF!</definedName>
    <definedName name="ApprovedYr">'[4]Z1.ModelVariables'!$C$12</definedName>
    <definedName name="CAfile">[5]Refs!$B$2</definedName>
    <definedName name="CAPCOSTS" localSheetId="11">#REF!</definedName>
    <definedName name="CAPCOSTS">#REF!</definedName>
    <definedName name="CAPITAL">#REF!</definedName>
    <definedName name="CapitalExpListing">#REF!</definedName>
    <definedName name="CArevReq">[5]Refs!$B$6</definedName>
    <definedName name="CASHFLOW" localSheetId="11">#REF!</definedName>
    <definedName name="CASHFLOW">#REF!</definedName>
    <definedName name="cc">#REF!</definedName>
    <definedName name="ClassRange1">[5]Refs!$B$3</definedName>
    <definedName name="ClassRange2">[5]Refs!$B$4</definedName>
    <definedName name="contactf" localSheetId="11">#REF!</definedName>
    <definedName name="contactf">#REF!</definedName>
    <definedName name="_xlnm.Criteria">#REF!</definedName>
    <definedName name="CRLF">'[4]Z1.ModelVariables'!$C$10</definedName>
    <definedName name="_xlnm.Database" localSheetId="11">#REF!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 localSheetId="11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 localSheetId="11">#REF!</definedName>
    <definedName name="Incr2000">#REF!</definedName>
    <definedName name="INTERIM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[5]Refs!$B$8</definedName>
    <definedName name="NOTES" localSheetId="11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 localSheetId="11">[2]Sheet1!$A$1:$I$40</definedName>
    <definedName name="PAGE2">[3]Sheet1!$A$1:$I$40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_xlnm.Print_Area" localSheetId="6">'Purchased Power Model'!#REF!</definedName>
    <definedName name="_xlnm.Print_Area" localSheetId="7">'Purchased Power Model (WN)'!#REF!</definedName>
    <definedName name="_xlnm.Print_Area" localSheetId="5">'Rate Class Customer Model'!$A$1:$C$1</definedName>
    <definedName name="_xlnm.Print_Area" localSheetId="2">'Rate Class Energy Model'!$A$1:$I$2</definedName>
    <definedName name="_xlnm.Print_Area" localSheetId="3">'Rate Class Energy Model (WN)'!$A$1:$I$2</definedName>
    <definedName name="_xlnm.Print_Area" localSheetId="4">'Rate Class Load Model'!$A$1:$A$1</definedName>
    <definedName name="_xlnm.Print_Area" localSheetId="0">Summary!#REF!</definedName>
    <definedName name="Print_Area_MI" localSheetId="11">#REF!</definedName>
    <definedName name="Print_Area_MI">#REF!</definedName>
    <definedName name="print_end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 localSheetId="11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'[4]A1.Admin'!$C$13</definedName>
    <definedName name="TestYrPL">'[8]Revenue Requirement'!$B$10</definedName>
    <definedName name="total_dept" localSheetId="11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[7]Financials!$A$1</definedName>
    <definedName name="utitliy1">[9]Financials!$A$1</definedName>
    <definedName name="WAGBENF" localSheetId="1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39" l="1"/>
  <c r="X122" i="17" l="1"/>
  <c r="X123" i="17"/>
  <c r="X124" i="17"/>
  <c r="X125" i="17"/>
  <c r="X126" i="17"/>
  <c r="X127" i="17"/>
  <c r="X128" i="17"/>
  <c r="X129" i="17"/>
  <c r="X130" i="17"/>
  <c r="X131" i="17"/>
  <c r="X132" i="17"/>
  <c r="X133" i="17"/>
  <c r="X134" i="17"/>
  <c r="X135" i="17"/>
  <c r="X136" i="17"/>
  <c r="X137" i="17"/>
  <c r="X138" i="17"/>
  <c r="X139" i="17"/>
  <c r="X140" i="17"/>
  <c r="X141" i="17"/>
  <c r="X142" i="17"/>
  <c r="X143" i="17"/>
  <c r="X144" i="17"/>
  <c r="X145" i="17"/>
  <c r="X121" i="17"/>
  <c r="J13" i="17" l="1"/>
  <c r="M12" i="11" l="1"/>
  <c r="N124" i="43" l="1"/>
  <c r="N125" i="43"/>
  <c r="N126" i="43"/>
  <c r="N127" i="43"/>
  <c r="N128" i="43"/>
  <c r="N129" i="43"/>
  <c r="N130" i="43"/>
  <c r="N131" i="43"/>
  <c r="N132" i="43"/>
  <c r="N133" i="43"/>
  <c r="N134" i="43"/>
  <c r="N135" i="43"/>
  <c r="N136" i="43"/>
  <c r="N137" i="43"/>
  <c r="N138" i="43"/>
  <c r="N139" i="43"/>
  <c r="N140" i="43"/>
  <c r="N141" i="43"/>
  <c r="N142" i="43"/>
  <c r="N143" i="43"/>
  <c r="N144" i="43"/>
  <c r="N145" i="43"/>
  <c r="N146" i="43"/>
  <c r="N123" i="43"/>
  <c r="L124" i="39"/>
  <c r="L125" i="39"/>
  <c r="L126" i="39"/>
  <c r="L127" i="39"/>
  <c r="L128" i="39"/>
  <c r="L129" i="39"/>
  <c r="L130" i="39"/>
  <c r="L131" i="39"/>
  <c r="L132" i="39"/>
  <c r="L133" i="39"/>
  <c r="L134" i="39"/>
  <c r="L135" i="39"/>
  <c r="L136" i="39"/>
  <c r="L137" i="39"/>
  <c r="L138" i="39"/>
  <c r="L139" i="39"/>
  <c r="L140" i="39"/>
  <c r="L141" i="39"/>
  <c r="L142" i="39"/>
  <c r="L143" i="39"/>
  <c r="L144" i="39"/>
  <c r="L145" i="39"/>
  <c r="L146" i="39"/>
  <c r="L123" i="39"/>
  <c r="P5" i="39"/>
  <c r="P4" i="39"/>
  <c r="P6" i="39"/>
  <c r="P7" i="39"/>
  <c r="P8" i="39"/>
  <c r="P9" i="39"/>
  <c r="P10" i="39"/>
  <c r="P11" i="39"/>
  <c r="P12" i="39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P44" i="39"/>
  <c r="P45" i="39"/>
  <c r="P46" i="39"/>
  <c r="P47" i="39"/>
  <c r="P48" i="39"/>
  <c r="P49" i="39"/>
  <c r="P50" i="39"/>
  <c r="P51" i="39"/>
  <c r="P52" i="39"/>
  <c r="P53" i="39"/>
  <c r="P54" i="39"/>
  <c r="P55" i="39"/>
  <c r="P56" i="39"/>
  <c r="P57" i="39"/>
  <c r="P58" i="39"/>
  <c r="P59" i="39"/>
  <c r="P60" i="39"/>
  <c r="P61" i="39"/>
  <c r="P62" i="39"/>
  <c r="P63" i="39"/>
  <c r="P64" i="39"/>
  <c r="P65" i="39"/>
  <c r="P66" i="39"/>
  <c r="P67" i="39"/>
  <c r="P68" i="39"/>
  <c r="P69" i="39"/>
  <c r="P70" i="39"/>
  <c r="P71" i="39"/>
  <c r="P72" i="39"/>
  <c r="P73" i="39"/>
  <c r="P74" i="39"/>
  <c r="P75" i="39"/>
  <c r="P76" i="39"/>
  <c r="P77" i="39"/>
  <c r="P78" i="39"/>
  <c r="P79" i="39"/>
  <c r="P80" i="39"/>
  <c r="P81" i="39"/>
  <c r="P82" i="39"/>
  <c r="P83" i="39"/>
  <c r="P84" i="39"/>
  <c r="P85" i="39"/>
  <c r="P86" i="39"/>
  <c r="P87" i="39"/>
  <c r="P88" i="39"/>
  <c r="P89" i="39"/>
  <c r="P90" i="39"/>
  <c r="P91" i="39"/>
  <c r="P92" i="39"/>
  <c r="P93" i="39"/>
  <c r="P94" i="39"/>
  <c r="P95" i="39"/>
  <c r="P96" i="39"/>
  <c r="P97" i="39"/>
  <c r="P98" i="39"/>
  <c r="P99" i="39"/>
  <c r="P100" i="39"/>
  <c r="P101" i="39"/>
  <c r="P102" i="39"/>
  <c r="P103" i="39"/>
  <c r="P104" i="39"/>
  <c r="P105" i="39"/>
  <c r="P106" i="39"/>
  <c r="P107" i="39"/>
  <c r="P108" i="39"/>
  <c r="P109" i="39"/>
  <c r="P110" i="39"/>
  <c r="P111" i="39"/>
  <c r="P112" i="39"/>
  <c r="P113" i="39"/>
  <c r="P114" i="39"/>
  <c r="P115" i="39"/>
  <c r="P116" i="39"/>
  <c r="P117" i="39"/>
  <c r="P118" i="39"/>
  <c r="P119" i="39"/>
  <c r="P120" i="39"/>
  <c r="P121" i="39"/>
  <c r="P122" i="39"/>
  <c r="H122" i="36"/>
  <c r="I122" i="36"/>
  <c r="H123" i="36"/>
  <c r="I123" i="36"/>
  <c r="I135" i="36" s="1"/>
  <c r="H124" i="36"/>
  <c r="H136" i="36" s="1"/>
  <c r="I124" i="36"/>
  <c r="H125" i="36"/>
  <c r="H137" i="36" s="1"/>
  <c r="I125" i="36"/>
  <c r="I137" i="36" s="1"/>
  <c r="H126" i="36"/>
  <c r="H138" i="36" s="1"/>
  <c r="I126" i="36"/>
  <c r="I138" i="36" s="1"/>
  <c r="H127" i="36"/>
  <c r="H139" i="36" s="1"/>
  <c r="I127" i="36"/>
  <c r="I139" i="36" s="1"/>
  <c r="H128" i="36"/>
  <c r="H140" i="36" s="1"/>
  <c r="I128" i="36"/>
  <c r="I140" i="36" s="1"/>
  <c r="H129" i="36"/>
  <c r="H141" i="36" s="1"/>
  <c r="I129" i="36"/>
  <c r="I141" i="36" s="1"/>
  <c r="H130" i="36"/>
  <c r="H142" i="36" s="1"/>
  <c r="I130" i="36"/>
  <c r="I142" i="36" s="1"/>
  <c r="H131" i="36"/>
  <c r="H143" i="36" s="1"/>
  <c r="I131" i="36"/>
  <c r="I143" i="36" s="1"/>
  <c r="H132" i="36"/>
  <c r="H144" i="36" s="1"/>
  <c r="I132" i="36"/>
  <c r="I144" i="36" s="1"/>
  <c r="H133" i="36"/>
  <c r="H145" i="36" s="1"/>
  <c r="I133" i="36"/>
  <c r="I145" i="36" s="1"/>
  <c r="G123" i="36"/>
  <c r="G135" i="36" s="1"/>
  <c r="G124" i="36"/>
  <c r="G136" i="36" s="1"/>
  <c r="G125" i="36"/>
  <c r="G137" i="36" s="1"/>
  <c r="G126" i="36"/>
  <c r="G138" i="36" s="1"/>
  <c r="G127" i="36"/>
  <c r="G139" i="36" s="1"/>
  <c r="G128" i="36"/>
  <c r="G129" i="36"/>
  <c r="G141" i="36" s="1"/>
  <c r="G130" i="36"/>
  <c r="G142" i="36" s="1"/>
  <c r="G131" i="36"/>
  <c r="G143" i="36" s="1"/>
  <c r="G132" i="36"/>
  <c r="G133" i="36"/>
  <c r="G145" i="36" s="1"/>
  <c r="G122" i="36"/>
  <c r="G134" i="36" s="1"/>
  <c r="H134" i="36"/>
  <c r="I134" i="36"/>
  <c r="H135" i="36"/>
  <c r="I136" i="36"/>
  <c r="G140" i="36"/>
  <c r="G144" i="36"/>
  <c r="F123" i="36"/>
  <c r="F124" i="36"/>
  <c r="F125" i="36"/>
  <c r="F126" i="36"/>
  <c r="F127" i="36"/>
  <c r="F128" i="36"/>
  <c r="F129" i="36"/>
  <c r="F130" i="36"/>
  <c r="F131" i="36"/>
  <c r="F132" i="36"/>
  <c r="F133" i="36"/>
  <c r="F122" i="36"/>
  <c r="F134" i="36" s="1"/>
  <c r="F135" i="36"/>
  <c r="F136" i="36"/>
  <c r="F137" i="36"/>
  <c r="F138" i="36"/>
  <c r="F139" i="36"/>
  <c r="F140" i="36"/>
  <c r="F141" i="36"/>
  <c r="F142" i="36"/>
  <c r="F143" i="36"/>
  <c r="F144" i="36"/>
  <c r="F145" i="36"/>
  <c r="S5" i="36"/>
  <c r="S6" i="36"/>
  <c r="S7" i="36"/>
  <c r="S11" i="36"/>
  <c r="S12" i="36"/>
  <c r="S13" i="36"/>
  <c r="T13" i="36"/>
  <c r="M132" i="36"/>
  <c r="N132" i="36"/>
  <c r="O132" i="36"/>
  <c r="P132" i="36"/>
  <c r="Q132" i="36"/>
  <c r="R132" i="36"/>
  <c r="K134" i="36"/>
  <c r="K135" i="36"/>
  <c r="K136" i="36"/>
  <c r="K137" i="36"/>
  <c r="K138" i="36"/>
  <c r="K139" i="36"/>
  <c r="K140" i="36"/>
  <c r="K141" i="36"/>
  <c r="K142" i="36"/>
  <c r="K143" i="36"/>
  <c r="K144" i="36"/>
  <c r="L132" i="36"/>
  <c r="K133" i="36"/>
  <c r="M118" i="36"/>
  <c r="N118" i="36"/>
  <c r="O118" i="36"/>
  <c r="P118" i="36"/>
  <c r="Q118" i="36"/>
  <c r="R118" i="36"/>
  <c r="L118" i="36"/>
  <c r="K121" i="36"/>
  <c r="K122" i="36" s="1"/>
  <c r="K123" i="36" s="1"/>
  <c r="K124" i="36" s="1"/>
  <c r="K125" i="36" s="1"/>
  <c r="K126" i="36" s="1"/>
  <c r="K127" i="36" s="1"/>
  <c r="K128" i="36" s="1"/>
  <c r="K129" i="36" s="1"/>
  <c r="K130" i="36" s="1"/>
  <c r="K120" i="36"/>
  <c r="D124" i="36" l="1"/>
  <c r="T12" i="36"/>
  <c r="T11" i="36"/>
  <c r="T7" i="36"/>
  <c r="T6" i="36"/>
  <c r="D125" i="36"/>
  <c r="T5" i="36"/>
  <c r="C122" i="36" l="1"/>
  <c r="C129" i="36"/>
  <c r="C123" i="36"/>
  <c r="D129" i="36"/>
  <c r="D141" i="36" s="1"/>
  <c r="O147" i="36"/>
  <c r="P147" i="36"/>
  <c r="Q147" i="36"/>
  <c r="R147" i="36"/>
  <c r="P146" i="36"/>
  <c r="Q146" i="36"/>
  <c r="R146" i="36"/>
  <c r="O146" i="36"/>
  <c r="C133" i="36"/>
  <c r="C127" i="36"/>
  <c r="C139" i="36" s="1"/>
  <c r="D133" i="36"/>
  <c r="D145" i="36" s="1"/>
  <c r="D128" i="36"/>
  <c r="D140" i="36" s="1"/>
  <c r="C131" i="36"/>
  <c r="C143" i="36" s="1"/>
  <c r="C126" i="36"/>
  <c r="C138" i="36" s="1"/>
  <c r="D132" i="36"/>
  <c r="D144" i="36" s="1"/>
  <c r="D126" i="36"/>
  <c r="D138" i="36" s="1"/>
  <c r="C130" i="36"/>
  <c r="C142" i="36" s="1"/>
  <c r="C125" i="36"/>
  <c r="C137" i="36" s="1"/>
  <c r="D130" i="36"/>
  <c r="D142" i="36"/>
  <c r="D137" i="36"/>
  <c r="M147" i="36"/>
  <c r="N147" i="36"/>
  <c r="L147" i="36"/>
  <c r="E135" i="36"/>
  <c r="C141" i="36"/>
  <c r="C135" i="36"/>
  <c r="D136" i="36"/>
  <c r="C145" i="36"/>
  <c r="C134" i="36"/>
  <c r="E123" i="36"/>
  <c r="D122" i="36"/>
  <c r="M146" i="36"/>
  <c r="N146" i="36"/>
  <c r="L146" i="36"/>
  <c r="C132" i="36"/>
  <c r="C144" i="36" s="1"/>
  <c r="C128" i="36"/>
  <c r="C140" i="36" s="1"/>
  <c r="C124" i="36"/>
  <c r="C136" i="36" s="1"/>
  <c r="D131" i="36"/>
  <c r="D143" i="36" s="1"/>
  <c r="D127" i="36"/>
  <c r="D139" i="36" s="1"/>
  <c r="D123" i="36"/>
  <c r="D135" i="36" s="1"/>
  <c r="E136" i="36" l="1"/>
  <c r="E124" i="36"/>
  <c r="D134" i="36"/>
  <c r="E137" i="36" l="1"/>
  <c r="E125" i="36"/>
  <c r="E138" i="36" l="1"/>
  <c r="E126" i="36"/>
  <c r="E139" i="36" l="1"/>
  <c r="E127" i="36"/>
  <c r="E140" i="36" l="1"/>
  <c r="E128" i="36"/>
  <c r="E141" i="36" l="1"/>
  <c r="E129" i="36"/>
  <c r="E142" i="36" l="1"/>
  <c r="E130" i="36"/>
  <c r="E143" i="36" l="1"/>
  <c r="E131" i="36"/>
  <c r="E144" i="36" l="1"/>
  <c r="E132" i="36"/>
  <c r="E145" i="36" l="1"/>
  <c r="E133" i="36"/>
  <c r="E28" i="18" l="1"/>
  <c r="E33" i="18"/>
  <c r="B13" i="17"/>
  <c r="B12" i="17"/>
  <c r="H63" i="44"/>
  <c r="J33" i="44"/>
  <c r="I33" i="44"/>
  <c r="H33" i="44"/>
  <c r="H34" i="44"/>
  <c r="N120" i="44" l="1"/>
  <c r="N63" i="44"/>
  <c r="N64" i="44"/>
  <c r="N31" i="9"/>
  <c r="N33" i="44"/>
  <c r="I63" i="44"/>
  <c r="BH64" i="35"/>
  <c r="BH65" i="35" s="1"/>
  <c r="BH66" i="35" s="1"/>
  <c r="BH67" i="35" s="1"/>
  <c r="BH68" i="35" s="1"/>
  <c r="BH69" i="35" s="1"/>
  <c r="BH70" i="35" s="1"/>
  <c r="BH71" i="35" s="1"/>
  <c r="BH72" i="35" s="1"/>
  <c r="BH73" i="35" s="1"/>
  <c r="BH74" i="35" s="1"/>
  <c r="BH75" i="35" s="1"/>
  <c r="BH76" i="35" s="1"/>
  <c r="BH77" i="35" s="1"/>
  <c r="BH78" i="35" s="1"/>
  <c r="BH79" i="35" s="1"/>
  <c r="BH80" i="35" s="1"/>
  <c r="BH81" i="35" s="1"/>
  <c r="BH82" i="35" s="1"/>
  <c r="BH83" i="35" s="1"/>
  <c r="BH84" i="35" s="1"/>
  <c r="BH85" i="35" s="1"/>
  <c r="BH86" i="35" s="1"/>
  <c r="BH87" i="35" s="1"/>
  <c r="BH88" i="35" s="1"/>
  <c r="BH89" i="35" s="1"/>
  <c r="BH90" i="35" s="1"/>
  <c r="BH91" i="35" s="1"/>
  <c r="BH92" i="35" s="1"/>
  <c r="BH93" i="35" s="1"/>
  <c r="BH94" i="35" s="1"/>
  <c r="BH95" i="35" s="1"/>
  <c r="BH96" i="35" s="1"/>
  <c r="BH97" i="35" s="1"/>
  <c r="BH98" i="35" s="1"/>
  <c r="BH99" i="35" s="1"/>
  <c r="BH100" i="35" s="1"/>
  <c r="BH101" i="35" s="1"/>
  <c r="BH102" i="35" s="1"/>
  <c r="BH103" i="35" s="1"/>
  <c r="BH104" i="35" s="1"/>
  <c r="BH105" i="35" s="1"/>
  <c r="BH106" i="35" s="1"/>
  <c r="BH107" i="35" s="1"/>
  <c r="BH108" i="35" s="1"/>
  <c r="BH109" i="35" s="1"/>
  <c r="BH110" i="35" s="1"/>
  <c r="BH111" i="35" s="1"/>
  <c r="BH112" i="35" s="1"/>
  <c r="BH113" i="35" s="1"/>
  <c r="BH114" i="35" s="1"/>
  <c r="BH115" i="35" s="1"/>
  <c r="BH116" i="35" s="1"/>
  <c r="BH117" i="35" s="1"/>
  <c r="BH118" i="35" s="1"/>
  <c r="BH119" i="35" s="1"/>
  <c r="BH120" i="35" s="1"/>
  <c r="BH121" i="35" s="1"/>
  <c r="BH63" i="35"/>
  <c r="I67" i="39"/>
  <c r="BE3" i="35"/>
  <c r="BE4" i="35"/>
  <c r="BE5" i="35"/>
  <c r="BE6" i="35"/>
  <c r="BE7" i="35"/>
  <c r="BE8" i="35"/>
  <c r="BE9" i="35"/>
  <c r="BE10" i="35"/>
  <c r="BE11" i="35"/>
  <c r="BE12" i="35"/>
  <c r="BE13" i="35"/>
  <c r="BE14" i="35"/>
  <c r="BE15" i="35"/>
  <c r="BE16" i="35"/>
  <c r="BE17" i="35"/>
  <c r="BE18" i="35"/>
  <c r="BE19" i="35"/>
  <c r="BE20" i="35"/>
  <c r="BE21" i="35"/>
  <c r="BE22" i="35"/>
  <c r="BE23" i="35"/>
  <c r="BE24" i="35"/>
  <c r="BE25" i="35"/>
  <c r="BE26" i="35"/>
  <c r="BE27" i="35"/>
  <c r="BE28" i="35"/>
  <c r="BE29" i="35"/>
  <c r="BE30" i="35"/>
  <c r="BE31" i="35"/>
  <c r="BE32" i="35"/>
  <c r="BE33" i="35"/>
  <c r="BE34" i="35"/>
  <c r="BE35" i="35"/>
  <c r="BE36" i="35"/>
  <c r="BE37" i="35"/>
  <c r="BE38" i="35"/>
  <c r="BE39" i="35"/>
  <c r="BE40" i="35"/>
  <c r="BE41" i="35"/>
  <c r="BE42" i="35"/>
  <c r="BE43" i="35"/>
  <c r="BE44" i="35"/>
  <c r="BE45" i="35"/>
  <c r="BE46" i="35"/>
  <c r="BE47" i="35"/>
  <c r="BE48" i="35"/>
  <c r="BE49" i="35"/>
  <c r="BE50" i="35"/>
  <c r="BE51" i="35"/>
  <c r="BE52" i="35"/>
  <c r="BE53" i="35"/>
  <c r="BE54" i="35"/>
  <c r="BE55" i="35"/>
  <c r="BE56" i="35"/>
  <c r="BE57" i="35"/>
  <c r="BE58" i="35"/>
  <c r="BE59" i="35"/>
  <c r="BE60" i="35"/>
  <c r="BE61" i="35"/>
  <c r="BE62" i="35"/>
  <c r="BE63" i="35"/>
  <c r="BE64" i="35"/>
  <c r="BE65" i="35"/>
  <c r="BE66" i="35"/>
  <c r="BE67" i="35"/>
  <c r="BE68" i="35"/>
  <c r="BE69" i="35"/>
  <c r="BE70" i="35"/>
  <c r="BE71" i="35"/>
  <c r="BE72" i="35"/>
  <c r="BE73" i="35"/>
  <c r="BE74" i="35"/>
  <c r="BE75" i="35"/>
  <c r="BE76" i="35"/>
  <c r="BE77" i="35"/>
  <c r="BE78" i="35"/>
  <c r="BE79" i="35"/>
  <c r="BE80" i="35"/>
  <c r="BE81" i="35"/>
  <c r="BE82" i="35"/>
  <c r="BE83" i="35"/>
  <c r="BE84" i="35"/>
  <c r="BE85" i="35"/>
  <c r="BE86" i="35"/>
  <c r="BE87" i="35"/>
  <c r="BE88" i="35"/>
  <c r="BE89" i="35"/>
  <c r="BE90" i="35"/>
  <c r="BE91" i="35"/>
  <c r="BE92" i="35"/>
  <c r="BE93" i="35"/>
  <c r="BE94" i="35"/>
  <c r="BE95" i="35"/>
  <c r="BE96" i="35"/>
  <c r="BE97" i="35"/>
  <c r="BE98" i="35"/>
  <c r="BE99" i="35"/>
  <c r="BE100" i="35"/>
  <c r="BE101" i="35"/>
  <c r="BE102" i="35"/>
  <c r="BE103" i="35"/>
  <c r="BE104" i="35"/>
  <c r="BE105" i="35"/>
  <c r="BE106" i="35"/>
  <c r="BE107" i="35"/>
  <c r="BE108" i="35"/>
  <c r="BE109" i="35"/>
  <c r="BE110" i="35"/>
  <c r="BE111" i="35"/>
  <c r="BE112" i="35"/>
  <c r="BE113" i="35"/>
  <c r="BE114" i="35"/>
  <c r="BE115" i="35"/>
  <c r="BE116" i="35"/>
  <c r="BE117" i="35"/>
  <c r="BE118" i="35"/>
  <c r="BE119" i="35"/>
  <c r="BE120" i="35"/>
  <c r="BE121" i="35"/>
  <c r="BE2" i="35"/>
  <c r="E36" i="18"/>
  <c r="BA43" i="34"/>
  <c r="D36" i="18" l="1"/>
  <c r="C36" i="18"/>
  <c r="C37" i="18" s="1"/>
  <c r="C38" i="18" s="1"/>
  <c r="D37" i="18"/>
  <c r="D38" i="18" s="1"/>
  <c r="E37" i="18"/>
  <c r="E38" i="18" s="1"/>
  <c r="B38" i="18"/>
  <c r="B37" i="18"/>
  <c r="B36" i="18"/>
  <c r="C28" i="18"/>
  <c r="C30" i="18"/>
  <c r="C26" i="18"/>
  <c r="C25" i="18"/>
  <c r="M135" i="43"/>
  <c r="M134" i="43"/>
  <c r="M146" i="43" s="1"/>
  <c r="M133" i="43"/>
  <c r="M145" i="43" s="1"/>
  <c r="M132" i="43"/>
  <c r="M144" i="43" s="1"/>
  <c r="M131" i="43"/>
  <c r="M143" i="43" s="1"/>
  <c r="M130" i="43"/>
  <c r="M142" i="43" s="1"/>
  <c r="M129" i="43"/>
  <c r="M141" i="43" s="1"/>
  <c r="M128" i="43"/>
  <c r="M140" i="43" s="1"/>
  <c r="M127" i="43"/>
  <c r="M139" i="43" s="1"/>
  <c r="M126" i="43"/>
  <c r="M138" i="43" s="1"/>
  <c r="M125" i="43"/>
  <c r="M137" i="43" s="1"/>
  <c r="M124" i="43"/>
  <c r="M136" i="43" s="1"/>
  <c r="M123" i="43"/>
  <c r="K124" i="39"/>
  <c r="K125" i="39"/>
  <c r="K126" i="39"/>
  <c r="K127" i="39"/>
  <c r="K139" i="39" s="1"/>
  <c r="K128" i="39"/>
  <c r="K129" i="39"/>
  <c r="K130" i="39"/>
  <c r="K131" i="39"/>
  <c r="K143" i="39" s="1"/>
  <c r="K132" i="39"/>
  <c r="K133" i="39"/>
  <c r="K134" i="39"/>
  <c r="K135" i="39"/>
  <c r="K136" i="39"/>
  <c r="K137" i="39"/>
  <c r="K138" i="39"/>
  <c r="K140" i="39"/>
  <c r="K141" i="39"/>
  <c r="K142" i="39"/>
  <c r="K144" i="39"/>
  <c r="K145" i="39"/>
  <c r="K146" i="39"/>
  <c r="K123" i="39"/>
  <c r="E32" i="18"/>
  <c r="E26" i="18"/>
  <c r="I4" i="32" l="1"/>
  <c r="J4" i="32"/>
  <c r="I5" i="32"/>
  <c r="J5" i="32"/>
  <c r="I6" i="32"/>
  <c r="J6" i="32"/>
  <c r="I7" i="32"/>
  <c r="J7" i="32"/>
  <c r="I8" i="32"/>
  <c r="J8" i="32"/>
  <c r="I9" i="32"/>
  <c r="J9" i="32"/>
  <c r="I10" i="32"/>
  <c r="J10" i="32"/>
  <c r="I11" i="32"/>
  <c r="J11" i="32"/>
  <c r="I12" i="32"/>
  <c r="J12" i="32"/>
  <c r="I13" i="32"/>
  <c r="J13" i="32"/>
  <c r="I14" i="32"/>
  <c r="J14" i="32"/>
  <c r="I15" i="32"/>
  <c r="J15" i="32"/>
  <c r="I16" i="32"/>
  <c r="J16" i="32"/>
  <c r="J3" i="32"/>
  <c r="I3" i="32"/>
  <c r="B3" i="32"/>
  <c r="B4" i="32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120" i="32"/>
  <c r="B121" i="32"/>
  <c r="B122" i="32"/>
  <c r="B123" i="32"/>
  <c r="B124" i="32"/>
  <c r="B125" i="32"/>
  <c r="B126" i="32"/>
  <c r="B127" i="32"/>
  <c r="B128" i="32"/>
  <c r="B129" i="32"/>
  <c r="B130" i="32"/>
  <c r="B131" i="32"/>
  <c r="B132" i="32"/>
  <c r="B133" i="32"/>
  <c r="B134" i="32"/>
  <c r="B135" i="32"/>
  <c r="B136" i="32"/>
  <c r="B137" i="32"/>
  <c r="B138" i="32"/>
  <c r="B139" i="32"/>
  <c r="B140" i="32"/>
  <c r="B141" i="32"/>
  <c r="B142" i="32"/>
  <c r="B143" i="32"/>
  <c r="B144" i="32"/>
  <c r="B145" i="32"/>
  <c r="B146" i="32"/>
  <c r="B147" i="32"/>
  <c r="B148" i="32"/>
  <c r="B149" i="32"/>
  <c r="B150" i="32"/>
  <c r="B151" i="32"/>
  <c r="B152" i="32"/>
  <c r="B153" i="32"/>
  <c r="B154" i="32"/>
  <c r="B155" i="32"/>
  <c r="B156" i="32"/>
  <c r="B157" i="32"/>
  <c r="B158" i="32"/>
  <c r="B159" i="32"/>
  <c r="B160" i="32"/>
  <c r="B161" i="32"/>
  <c r="B162" i="32"/>
  <c r="B163" i="32"/>
  <c r="B164" i="32"/>
  <c r="B165" i="32"/>
  <c r="B166" i="32"/>
  <c r="B167" i="32"/>
  <c r="B168" i="32"/>
  <c r="B169" i="32"/>
  <c r="B170" i="32"/>
  <c r="B171" i="32"/>
  <c r="B172" i="32"/>
  <c r="B173" i="32"/>
  <c r="B174" i="32"/>
  <c r="B175" i="32"/>
  <c r="B176" i="32"/>
  <c r="B177" i="32"/>
  <c r="B178" i="32"/>
  <c r="B179" i="32"/>
  <c r="B180" i="32"/>
  <c r="B181" i="32"/>
  <c r="B2" i="32"/>
  <c r="H4" i="32"/>
  <c r="H5" i="32" s="1"/>
  <c r="H6" i="32" s="1"/>
  <c r="H7" i="32" s="1"/>
  <c r="H8" i="32" s="1"/>
  <c r="H9" i="32" s="1"/>
  <c r="H10" i="32" s="1"/>
  <c r="H11" i="32" s="1"/>
  <c r="H12" i="32" s="1"/>
  <c r="H13" i="32" s="1"/>
  <c r="H14" i="32" s="1"/>
  <c r="H15" i="32" s="1"/>
  <c r="H16" i="32" s="1"/>
  <c r="L13" i="32" l="1"/>
  <c r="L14" i="32"/>
  <c r="L15" i="32"/>
  <c r="L16" i="32"/>
  <c r="G9" i="9" l="1"/>
  <c r="I4" i="18" l="1"/>
  <c r="I5" i="18" s="1"/>
  <c r="I6" i="18" s="1"/>
  <c r="I7" i="18" s="1"/>
  <c r="I8" i="18" s="1"/>
  <c r="I9" i="18" s="1"/>
  <c r="I10" i="18" s="1"/>
  <c r="I11" i="18" s="1"/>
  <c r="I12" i="18" s="1"/>
  <c r="I13" i="18" s="1"/>
  <c r="I3" i="18"/>
  <c r="G5" i="44"/>
  <c r="AN5" i="34" l="1"/>
  <c r="P168" i="39"/>
  <c r="O170" i="39"/>
  <c r="O171" i="39"/>
  <c r="O172" i="39"/>
  <c r="O173" i="39"/>
  <c r="O174" i="39"/>
  <c r="O175" i="39"/>
  <c r="O176" i="39"/>
  <c r="O177" i="39"/>
  <c r="O178" i="39"/>
  <c r="O179" i="39"/>
  <c r="O180" i="39"/>
  <c r="O169" i="39"/>
  <c r="G8" i="44" l="1"/>
  <c r="G9" i="44"/>
  <c r="G10" i="44"/>
  <c r="G11" i="44"/>
  <c r="G12" i="44"/>
  <c r="G13" i="44"/>
  <c r="H80" i="44"/>
  <c r="I80" i="44" s="1"/>
  <c r="A32" i="44"/>
  <c r="A46" i="44" s="1"/>
  <c r="A31" i="44"/>
  <c r="A45" i="44" s="1"/>
  <c r="A30" i="44"/>
  <c r="A44" i="44" s="1"/>
  <c r="A29" i="44"/>
  <c r="A43" i="44" s="1"/>
  <c r="A28" i="44"/>
  <c r="A42" i="44" s="1"/>
  <c r="A27" i="44"/>
  <c r="A41" i="44" s="1"/>
  <c r="A26" i="44"/>
  <c r="A40" i="44" s="1"/>
  <c r="A25" i="44"/>
  <c r="A39" i="44" s="1"/>
  <c r="A24" i="44"/>
  <c r="A38" i="44" s="1"/>
  <c r="A23" i="44"/>
  <c r="A34" i="44"/>
  <c r="A33" i="44"/>
  <c r="N14" i="44"/>
  <c r="M14" i="44"/>
  <c r="K14" i="44"/>
  <c r="J14" i="44"/>
  <c r="G14" i="44" s="1"/>
  <c r="I7" i="44"/>
  <c r="G7" i="44" s="1"/>
  <c r="I6" i="44"/>
  <c r="G6" i="44" s="1"/>
  <c r="E146" i="43"/>
  <c r="E145" i="43"/>
  <c r="E144" i="43"/>
  <c r="E143" i="43"/>
  <c r="E142" i="43"/>
  <c r="E141" i="43"/>
  <c r="E140" i="43"/>
  <c r="E139" i="43"/>
  <c r="E138" i="43"/>
  <c r="E137" i="43"/>
  <c r="E136" i="43"/>
  <c r="E135" i="43"/>
  <c r="E134" i="43"/>
  <c r="E133" i="43"/>
  <c r="E132" i="43"/>
  <c r="E131" i="43"/>
  <c r="E130" i="43"/>
  <c r="E129" i="43"/>
  <c r="E128" i="43"/>
  <c r="E127" i="43"/>
  <c r="E126" i="43"/>
  <c r="E125" i="43"/>
  <c r="E124" i="43"/>
  <c r="E123" i="43"/>
  <c r="O122" i="43"/>
  <c r="O123" i="43" s="1"/>
  <c r="O124" i="43" s="1"/>
  <c r="O125" i="43" s="1"/>
  <c r="O126" i="43" s="1"/>
  <c r="O127" i="43" s="1"/>
  <c r="O128" i="43" s="1"/>
  <c r="O129" i="43" s="1"/>
  <c r="O130" i="43" s="1"/>
  <c r="O131" i="43" s="1"/>
  <c r="O132" i="43" s="1"/>
  <c r="O133" i="43" s="1"/>
  <c r="O134" i="43" s="1"/>
  <c r="O135" i="43" s="1"/>
  <c r="O136" i="43" s="1"/>
  <c r="O137" i="43" s="1"/>
  <c r="O138" i="43" s="1"/>
  <c r="O139" i="43" s="1"/>
  <c r="O140" i="43" s="1"/>
  <c r="O141" i="43" s="1"/>
  <c r="O142" i="43" s="1"/>
  <c r="O143" i="43" s="1"/>
  <c r="O144" i="43" s="1"/>
  <c r="O145" i="43" s="1"/>
  <c r="O146" i="43" s="1"/>
  <c r="M122" i="43"/>
  <c r="L122" i="43"/>
  <c r="A122" i="43"/>
  <c r="C122" i="43" s="1"/>
  <c r="O121" i="43"/>
  <c r="M121" i="43"/>
  <c r="L121" i="43"/>
  <c r="A121" i="43"/>
  <c r="O120" i="43"/>
  <c r="M120" i="43"/>
  <c r="L120" i="43"/>
  <c r="A120" i="43"/>
  <c r="O119" i="43"/>
  <c r="M119" i="43"/>
  <c r="L119" i="43"/>
  <c r="C119" i="43"/>
  <c r="A119" i="43"/>
  <c r="A131" i="43" s="1"/>
  <c r="O118" i="43"/>
  <c r="M118" i="43"/>
  <c r="L118" i="43"/>
  <c r="A118" i="43"/>
  <c r="B118" i="43" s="1"/>
  <c r="O117" i="43"/>
  <c r="M117" i="43"/>
  <c r="L117" i="43"/>
  <c r="A117" i="43"/>
  <c r="B117" i="43" s="1"/>
  <c r="O116" i="43"/>
  <c r="M116" i="43"/>
  <c r="L116" i="43"/>
  <c r="A116" i="43"/>
  <c r="O115" i="43"/>
  <c r="M115" i="43"/>
  <c r="L115" i="43"/>
  <c r="A115" i="43"/>
  <c r="A127" i="43" s="1"/>
  <c r="O114" i="43"/>
  <c r="M114" i="43"/>
  <c r="L114" i="43"/>
  <c r="A114" i="43"/>
  <c r="O113" i="43"/>
  <c r="M113" i="43"/>
  <c r="L113" i="43"/>
  <c r="A113" i="43"/>
  <c r="O112" i="43"/>
  <c r="M112" i="43"/>
  <c r="L112" i="43"/>
  <c r="A112" i="43"/>
  <c r="B112" i="43" s="1"/>
  <c r="O111" i="43"/>
  <c r="M111" i="43"/>
  <c r="L111" i="43"/>
  <c r="A111" i="43"/>
  <c r="A123" i="43" s="1"/>
  <c r="C123" i="43" s="1"/>
  <c r="O110" i="43"/>
  <c r="M110" i="43"/>
  <c r="L110" i="43"/>
  <c r="A110" i="43"/>
  <c r="O109" i="43"/>
  <c r="M109" i="43"/>
  <c r="L109" i="43"/>
  <c r="B109" i="43"/>
  <c r="A109" i="43"/>
  <c r="C109" i="43" s="1"/>
  <c r="O108" i="43"/>
  <c r="M108" i="43"/>
  <c r="L108" i="43"/>
  <c r="A108" i="43"/>
  <c r="C108" i="43" s="1"/>
  <c r="O107" i="43"/>
  <c r="M107" i="43"/>
  <c r="L107" i="43"/>
  <c r="A107" i="43"/>
  <c r="C107" i="43" s="1"/>
  <c r="O106" i="43"/>
  <c r="M106" i="43"/>
  <c r="L106" i="43"/>
  <c r="A106" i="43"/>
  <c r="B106" i="43" s="1"/>
  <c r="O105" i="43"/>
  <c r="M105" i="43"/>
  <c r="L105" i="43"/>
  <c r="A105" i="43"/>
  <c r="O104" i="43"/>
  <c r="M104" i="43"/>
  <c r="L104" i="43"/>
  <c r="A104" i="43"/>
  <c r="B104" i="43" s="1"/>
  <c r="O103" i="43"/>
  <c r="M103" i="43"/>
  <c r="L103" i="43"/>
  <c r="A103" i="43"/>
  <c r="C103" i="43" s="1"/>
  <c r="O102" i="43"/>
  <c r="M102" i="43"/>
  <c r="L102" i="43"/>
  <c r="A102" i="43"/>
  <c r="B102" i="43" s="1"/>
  <c r="O101" i="43"/>
  <c r="M101" i="43"/>
  <c r="L101" i="43"/>
  <c r="A101" i="43"/>
  <c r="C101" i="43" s="1"/>
  <c r="O100" i="43"/>
  <c r="M100" i="43"/>
  <c r="L100" i="43"/>
  <c r="A100" i="43"/>
  <c r="O99" i="43"/>
  <c r="M99" i="43"/>
  <c r="L99" i="43"/>
  <c r="A99" i="43"/>
  <c r="C99" i="43" s="1"/>
  <c r="O98" i="43"/>
  <c r="M98" i="43"/>
  <c r="L98" i="43"/>
  <c r="L146" i="43" s="1"/>
  <c r="A98" i="43"/>
  <c r="O97" i="43"/>
  <c r="M97" i="43"/>
  <c r="L97" i="43"/>
  <c r="L145" i="43" s="1"/>
  <c r="A97" i="43"/>
  <c r="O96" i="43"/>
  <c r="M96" i="43"/>
  <c r="L96" i="43"/>
  <c r="L144" i="43" s="1"/>
  <c r="A96" i="43"/>
  <c r="O95" i="43"/>
  <c r="M95" i="43"/>
  <c r="L95" i="43"/>
  <c r="L143" i="43" s="1"/>
  <c r="A95" i="43"/>
  <c r="C95" i="43" s="1"/>
  <c r="O94" i="43"/>
  <c r="M94" i="43"/>
  <c r="L94" i="43"/>
  <c r="L142" i="43" s="1"/>
  <c r="A94" i="43"/>
  <c r="B94" i="43" s="1"/>
  <c r="O93" i="43"/>
  <c r="M93" i="43"/>
  <c r="L93" i="43"/>
  <c r="L141" i="43" s="1"/>
  <c r="B93" i="43"/>
  <c r="A93" i="43"/>
  <c r="C93" i="43" s="1"/>
  <c r="O92" i="43"/>
  <c r="M92" i="43"/>
  <c r="L92" i="43"/>
  <c r="A92" i="43"/>
  <c r="C92" i="43" s="1"/>
  <c r="O91" i="43"/>
  <c r="M91" i="43"/>
  <c r="L91" i="43"/>
  <c r="A91" i="43"/>
  <c r="C91" i="43" s="1"/>
  <c r="O90" i="43"/>
  <c r="M90" i="43"/>
  <c r="L90" i="43"/>
  <c r="L138" i="43" s="1"/>
  <c r="A90" i="43"/>
  <c r="O89" i="43"/>
  <c r="M89" i="43"/>
  <c r="L89" i="43"/>
  <c r="L137" i="43" s="1"/>
  <c r="A89" i="43"/>
  <c r="O88" i="43"/>
  <c r="M88" i="43"/>
  <c r="L88" i="43"/>
  <c r="L136" i="43" s="1"/>
  <c r="A88" i="43"/>
  <c r="B88" i="43" s="1"/>
  <c r="O87" i="43"/>
  <c r="M87" i="43"/>
  <c r="L87" i="43"/>
  <c r="L135" i="43" s="1"/>
  <c r="A87" i="43"/>
  <c r="B87" i="43" s="1"/>
  <c r="O86" i="43"/>
  <c r="M86" i="43"/>
  <c r="L86" i="43"/>
  <c r="L134" i="43" s="1"/>
  <c r="A86" i="43"/>
  <c r="C86" i="43" s="1"/>
  <c r="O85" i="43"/>
  <c r="M85" i="43"/>
  <c r="L85" i="43"/>
  <c r="L133" i="43" s="1"/>
  <c r="A85" i="43"/>
  <c r="B85" i="43" s="1"/>
  <c r="O84" i="43"/>
  <c r="M84" i="43"/>
  <c r="L84" i="43"/>
  <c r="L132" i="43" s="1"/>
  <c r="A84" i="43"/>
  <c r="C84" i="43" s="1"/>
  <c r="O83" i="43"/>
  <c r="M83" i="43"/>
  <c r="L83" i="43"/>
  <c r="L131" i="43" s="1"/>
  <c r="A83" i="43"/>
  <c r="B83" i="43" s="1"/>
  <c r="O82" i="43"/>
  <c r="M82" i="43"/>
  <c r="L82" i="43"/>
  <c r="L130" i="43" s="1"/>
  <c r="A82" i="43"/>
  <c r="C82" i="43" s="1"/>
  <c r="O81" i="43"/>
  <c r="M81" i="43"/>
  <c r="L81" i="43"/>
  <c r="L129" i="43" s="1"/>
  <c r="A81" i="43"/>
  <c r="B81" i="43" s="1"/>
  <c r="O80" i="43"/>
  <c r="M80" i="43"/>
  <c r="L80" i="43"/>
  <c r="A80" i="43"/>
  <c r="C80" i="43" s="1"/>
  <c r="O79" i="43"/>
  <c r="M79" i="43"/>
  <c r="L79" i="43"/>
  <c r="L127" i="43" s="1"/>
  <c r="C79" i="43"/>
  <c r="A79" i="43"/>
  <c r="B79" i="43" s="1"/>
  <c r="O78" i="43"/>
  <c r="M78" i="43"/>
  <c r="L78" i="43"/>
  <c r="L126" i="43" s="1"/>
  <c r="A78" i="43"/>
  <c r="C78" i="43" s="1"/>
  <c r="O77" i="43"/>
  <c r="M77" i="43"/>
  <c r="L77" i="43"/>
  <c r="A77" i="43"/>
  <c r="B77" i="43" s="1"/>
  <c r="O76" i="43"/>
  <c r="M76" i="43"/>
  <c r="L76" i="43"/>
  <c r="L124" i="43" s="1"/>
  <c r="A76" i="43"/>
  <c r="C76" i="43" s="1"/>
  <c r="O75" i="43"/>
  <c r="M75" i="43"/>
  <c r="L75" i="43"/>
  <c r="L123" i="43" s="1"/>
  <c r="A75" i="43"/>
  <c r="C75" i="43" s="1"/>
  <c r="O74" i="43"/>
  <c r="M74" i="43"/>
  <c r="L74" i="43"/>
  <c r="A74" i="43"/>
  <c r="X73" i="43"/>
  <c r="Y73" i="43" s="1"/>
  <c r="Z73" i="43" s="1"/>
  <c r="O73" i="43"/>
  <c r="M73" i="43"/>
  <c r="L73" i="43"/>
  <c r="A73" i="43"/>
  <c r="B73" i="43" s="1"/>
  <c r="O72" i="43"/>
  <c r="M72" i="43"/>
  <c r="L72" i="43"/>
  <c r="C72" i="43"/>
  <c r="A72" i="43"/>
  <c r="B72" i="43" s="1"/>
  <c r="O71" i="43"/>
  <c r="M71" i="43"/>
  <c r="L71" i="43"/>
  <c r="A71" i="43"/>
  <c r="O70" i="43"/>
  <c r="M70" i="43"/>
  <c r="L70" i="43"/>
  <c r="A70" i="43"/>
  <c r="C70" i="43" s="1"/>
  <c r="O69" i="43"/>
  <c r="M69" i="43"/>
  <c r="L69" i="43"/>
  <c r="A69" i="43"/>
  <c r="B69" i="43" s="1"/>
  <c r="O68" i="43"/>
  <c r="M68" i="43"/>
  <c r="L68" i="43"/>
  <c r="A68" i="43"/>
  <c r="C68" i="43" s="1"/>
  <c r="O67" i="43"/>
  <c r="M67" i="43"/>
  <c r="L67" i="43"/>
  <c r="A67" i="43"/>
  <c r="B67" i="43" s="1"/>
  <c r="O66" i="43"/>
  <c r="M66" i="43"/>
  <c r="L66" i="43"/>
  <c r="A66" i="43"/>
  <c r="B66" i="43" s="1"/>
  <c r="O65" i="43"/>
  <c r="M65" i="43"/>
  <c r="L65" i="43"/>
  <c r="A65" i="43"/>
  <c r="C65" i="43" s="1"/>
  <c r="O64" i="43"/>
  <c r="M64" i="43"/>
  <c r="L64" i="43"/>
  <c r="A64" i="43"/>
  <c r="C64" i="43" s="1"/>
  <c r="V63" i="43"/>
  <c r="V64" i="43" s="1"/>
  <c r="O63" i="43"/>
  <c r="M63" i="43"/>
  <c r="L63" i="43"/>
  <c r="A63" i="43"/>
  <c r="B63" i="43" s="1"/>
  <c r="O62" i="43"/>
  <c r="M62" i="43"/>
  <c r="L62" i="43"/>
  <c r="A62" i="43"/>
  <c r="C62" i="43" s="1"/>
  <c r="O61" i="43"/>
  <c r="M61" i="43"/>
  <c r="L61" i="43"/>
  <c r="A61" i="43"/>
  <c r="B61" i="43" s="1"/>
  <c r="O60" i="43"/>
  <c r="M60" i="43"/>
  <c r="L60" i="43"/>
  <c r="A60" i="43"/>
  <c r="C60" i="43" s="1"/>
  <c r="O59" i="43"/>
  <c r="M59" i="43"/>
  <c r="L59" i="43"/>
  <c r="A59" i="43"/>
  <c r="O58" i="43"/>
  <c r="M58" i="43"/>
  <c r="L58" i="43"/>
  <c r="A58" i="43"/>
  <c r="B58" i="43" s="1"/>
  <c r="O57" i="43"/>
  <c r="M57" i="43"/>
  <c r="L57" i="43"/>
  <c r="A57" i="43"/>
  <c r="C57" i="43" s="1"/>
  <c r="O56" i="43"/>
  <c r="M56" i="43"/>
  <c r="L56" i="43"/>
  <c r="A56" i="43"/>
  <c r="C56" i="43" s="1"/>
  <c r="O55" i="43"/>
  <c r="M55" i="43"/>
  <c r="L55" i="43"/>
  <c r="A55" i="43"/>
  <c r="C55" i="43" s="1"/>
  <c r="O54" i="43"/>
  <c r="M54" i="43"/>
  <c r="L54" i="43"/>
  <c r="A54" i="43"/>
  <c r="B54" i="43" s="1"/>
  <c r="O53" i="43"/>
  <c r="M53" i="43"/>
  <c r="L53" i="43"/>
  <c r="A53" i="43"/>
  <c r="C53" i="43" s="1"/>
  <c r="O52" i="43"/>
  <c r="M52" i="43"/>
  <c r="L52" i="43"/>
  <c r="A52" i="43"/>
  <c r="B52" i="43" s="1"/>
  <c r="O51" i="43"/>
  <c r="M51" i="43"/>
  <c r="L51" i="43"/>
  <c r="A51" i="43"/>
  <c r="V50" i="43"/>
  <c r="V51" i="43" s="1"/>
  <c r="V52" i="43" s="1"/>
  <c r="O50" i="43"/>
  <c r="M50" i="43"/>
  <c r="L50" i="43"/>
  <c r="A50" i="43"/>
  <c r="B50" i="43" s="1"/>
  <c r="O49" i="43"/>
  <c r="M49" i="43"/>
  <c r="L49" i="43"/>
  <c r="B49" i="43"/>
  <c r="A49" i="43"/>
  <c r="C49" i="43" s="1"/>
  <c r="O48" i="43"/>
  <c r="M48" i="43"/>
  <c r="L48" i="43"/>
  <c r="A48" i="43"/>
  <c r="C48" i="43" s="1"/>
  <c r="O47" i="43"/>
  <c r="M47" i="43"/>
  <c r="L47" i="43"/>
  <c r="A47" i="43"/>
  <c r="B47" i="43" s="1"/>
  <c r="O46" i="43"/>
  <c r="M46" i="43"/>
  <c r="L46" i="43"/>
  <c r="A46" i="43"/>
  <c r="C46" i="43" s="1"/>
  <c r="O45" i="43"/>
  <c r="M45" i="43"/>
  <c r="L45" i="43"/>
  <c r="A45" i="43"/>
  <c r="C45" i="43" s="1"/>
  <c r="O44" i="43"/>
  <c r="M44" i="43"/>
  <c r="L44" i="43"/>
  <c r="A44" i="43"/>
  <c r="C44" i="43" s="1"/>
  <c r="O43" i="43"/>
  <c r="M43" i="43"/>
  <c r="L43" i="43"/>
  <c r="A43" i="43"/>
  <c r="B43" i="43" s="1"/>
  <c r="O42" i="43"/>
  <c r="M42" i="43"/>
  <c r="L42" i="43"/>
  <c r="A42" i="43"/>
  <c r="O41" i="43"/>
  <c r="M41" i="43"/>
  <c r="L41" i="43"/>
  <c r="A41" i="43"/>
  <c r="B41" i="43" s="1"/>
  <c r="O40" i="43"/>
  <c r="M40" i="43"/>
  <c r="L40" i="43"/>
  <c r="A40" i="43"/>
  <c r="C40" i="43" s="1"/>
  <c r="O39" i="43"/>
  <c r="M39" i="43"/>
  <c r="L39" i="43"/>
  <c r="A39" i="43"/>
  <c r="B39" i="43" s="1"/>
  <c r="O38" i="43"/>
  <c r="M38" i="43"/>
  <c r="L38" i="43"/>
  <c r="A38" i="43"/>
  <c r="C38" i="43" s="1"/>
  <c r="O37" i="43"/>
  <c r="M37" i="43"/>
  <c r="L37" i="43"/>
  <c r="A37" i="43"/>
  <c r="C37" i="43" s="1"/>
  <c r="O36" i="43"/>
  <c r="M36" i="43"/>
  <c r="L36" i="43"/>
  <c r="A36" i="43"/>
  <c r="C36" i="43" s="1"/>
  <c r="O35" i="43"/>
  <c r="M35" i="43"/>
  <c r="L35" i="43"/>
  <c r="A35" i="43"/>
  <c r="O34" i="43"/>
  <c r="M34" i="43"/>
  <c r="L34" i="43"/>
  <c r="A34" i="43"/>
  <c r="C34" i="43" s="1"/>
  <c r="O33" i="43"/>
  <c r="M33" i="43"/>
  <c r="L33" i="43"/>
  <c r="A33" i="43"/>
  <c r="C33" i="43" s="1"/>
  <c r="O32" i="43"/>
  <c r="M32" i="43"/>
  <c r="L32" i="43"/>
  <c r="A32" i="43"/>
  <c r="B32" i="43" s="1"/>
  <c r="O31" i="43"/>
  <c r="M31" i="43"/>
  <c r="L31" i="43"/>
  <c r="A31" i="43"/>
  <c r="B31" i="43" s="1"/>
  <c r="O30" i="43"/>
  <c r="M30" i="43"/>
  <c r="L30" i="43"/>
  <c r="A30" i="43"/>
  <c r="C30" i="43" s="1"/>
  <c r="O29" i="43"/>
  <c r="M29" i="43"/>
  <c r="L29" i="43"/>
  <c r="A29" i="43"/>
  <c r="B29" i="43" s="1"/>
  <c r="O28" i="43"/>
  <c r="M28" i="43"/>
  <c r="L28" i="43"/>
  <c r="A28" i="43"/>
  <c r="C28" i="43" s="1"/>
  <c r="O27" i="43"/>
  <c r="M27" i="43"/>
  <c r="L27" i="43"/>
  <c r="A27" i="43"/>
  <c r="B27" i="43" s="1"/>
  <c r="O26" i="43"/>
  <c r="M26" i="43"/>
  <c r="L26" i="43"/>
  <c r="A26" i="43"/>
  <c r="O25" i="43"/>
  <c r="M25" i="43"/>
  <c r="L25" i="43"/>
  <c r="A25" i="43"/>
  <c r="O24" i="43"/>
  <c r="M24" i="43"/>
  <c r="L24" i="43"/>
  <c r="A24" i="43"/>
  <c r="C24" i="43" s="1"/>
  <c r="O23" i="43"/>
  <c r="M23" i="43"/>
  <c r="L23" i="43"/>
  <c r="A23" i="43"/>
  <c r="B23" i="43" s="1"/>
  <c r="O22" i="43"/>
  <c r="M22" i="43"/>
  <c r="L22" i="43"/>
  <c r="A22" i="43"/>
  <c r="C22" i="43" s="1"/>
  <c r="O21" i="43"/>
  <c r="M21" i="43"/>
  <c r="L21" i="43"/>
  <c r="A21" i="43"/>
  <c r="C21" i="43" s="1"/>
  <c r="O20" i="43"/>
  <c r="M20" i="43"/>
  <c r="L20" i="43"/>
  <c r="A20" i="43"/>
  <c r="C20" i="43" s="1"/>
  <c r="O19" i="43"/>
  <c r="M19" i="43"/>
  <c r="L19" i="43"/>
  <c r="A19" i="43"/>
  <c r="O18" i="43"/>
  <c r="M18" i="43"/>
  <c r="L18" i="43"/>
  <c r="A18" i="43"/>
  <c r="O17" i="43"/>
  <c r="M17" i="43"/>
  <c r="L17" i="43"/>
  <c r="A17" i="43"/>
  <c r="B17" i="43" s="1"/>
  <c r="O16" i="43"/>
  <c r="M16" i="43"/>
  <c r="L16" i="43"/>
  <c r="A16" i="43"/>
  <c r="C16" i="43" s="1"/>
  <c r="O15" i="43"/>
  <c r="M15" i="43"/>
  <c r="L15" i="43"/>
  <c r="A15" i="43"/>
  <c r="O14" i="43"/>
  <c r="M14" i="43"/>
  <c r="L14" i="43"/>
  <c r="A14" i="43"/>
  <c r="C14" i="43" s="1"/>
  <c r="O13" i="43"/>
  <c r="M13" i="43"/>
  <c r="L13" i="43"/>
  <c r="A13" i="43"/>
  <c r="C13" i="43" s="1"/>
  <c r="O12" i="43"/>
  <c r="M12" i="43"/>
  <c r="L12" i="43"/>
  <c r="A12" i="43"/>
  <c r="B12" i="43" s="1"/>
  <c r="O11" i="43"/>
  <c r="M11" i="43"/>
  <c r="L11" i="43"/>
  <c r="A11" i="43"/>
  <c r="B11" i="43" s="1"/>
  <c r="O10" i="43"/>
  <c r="M10" i="43"/>
  <c r="L10" i="43"/>
  <c r="A10" i="43"/>
  <c r="O9" i="43"/>
  <c r="M9" i="43"/>
  <c r="L9" i="43"/>
  <c r="A9" i="43"/>
  <c r="B9" i="43" s="1"/>
  <c r="O8" i="43"/>
  <c r="M8" i="43"/>
  <c r="L8" i="43"/>
  <c r="A8" i="43"/>
  <c r="C8" i="43" s="1"/>
  <c r="O7" i="43"/>
  <c r="M7" i="43"/>
  <c r="L7" i="43"/>
  <c r="A7" i="43"/>
  <c r="B7" i="43" s="1"/>
  <c r="O6" i="43"/>
  <c r="M6" i="43"/>
  <c r="L6" i="43"/>
  <c r="A6" i="43"/>
  <c r="C6" i="43" s="1"/>
  <c r="O5" i="43"/>
  <c r="M5" i="43"/>
  <c r="L5" i="43"/>
  <c r="A5" i="43"/>
  <c r="O4" i="43"/>
  <c r="M4" i="43"/>
  <c r="L4" i="43"/>
  <c r="A4" i="43"/>
  <c r="C4" i="43" s="1"/>
  <c r="O3" i="43"/>
  <c r="M3" i="43"/>
  <c r="L3" i="43"/>
  <c r="A3" i="43"/>
  <c r="O2" i="43"/>
  <c r="M2" i="43"/>
  <c r="L2" i="43"/>
  <c r="F2" i="43"/>
  <c r="E2" i="43"/>
  <c r="D2" i="43"/>
  <c r="C83" i="43" l="1"/>
  <c r="C73" i="43"/>
  <c r="B8" i="43"/>
  <c r="B48" i="43"/>
  <c r="B70" i="43"/>
  <c r="B75" i="43"/>
  <c r="B108" i="43"/>
  <c r="B119" i="43"/>
  <c r="C17" i="43"/>
  <c r="B22" i="43"/>
  <c r="B36" i="43"/>
  <c r="C87" i="43"/>
  <c r="C12" i="43"/>
  <c r="B13" i="43"/>
  <c r="B14" i="43"/>
  <c r="C29" i="43"/>
  <c r="C39" i="43"/>
  <c r="B44" i="43"/>
  <c r="C52" i="43"/>
  <c r="C66" i="43"/>
  <c r="B4" i="43"/>
  <c r="B6" i="43"/>
  <c r="C9" i="43"/>
  <c r="B24" i="43"/>
  <c r="C31" i="43"/>
  <c r="C32" i="43"/>
  <c r="B57" i="43"/>
  <c r="C58" i="43"/>
  <c r="C77" i="43"/>
  <c r="C85" i="43"/>
  <c r="B91" i="43"/>
  <c r="B92" i="43"/>
  <c r="B95" i="43"/>
  <c r="C102" i="43"/>
  <c r="B107" i="43"/>
  <c r="B115" i="43"/>
  <c r="C115" i="43"/>
  <c r="C27" i="43"/>
  <c r="B37" i="43"/>
  <c r="B45" i="43"/>
  <c r="B46" i="43"/>
  <c r="B53" i="43"/>
  <c r="C54" i="43"/>
  <c r="C61" i="43"/>
  <c r="B68" i="43"/>
  <c r="C81" i="43"/>
  <c r="B99" i="43"/>
  <c r="B131" i="43"/>
  <c r="A143" i="43"/>
  <c r="C131" i="43"/>
  <c r="B16" i="43"/>
  <c r="B20" i="43"/>
  <c r="C23" i="43"/>
  <c r="B28" i="43"/>
  <c r="B30" i="43"/>
  <c r="B33" i="43"/>
  <c r="B40" i="43"/>
  <c r="C47" i="43"/>
  <c r="C50" i="43"/>
  <c r="B55" i="43"/>
  <c r="B60" i="43"/>
  <c r="C63" i="43"/>
  <c r="B65" i="43"/>
  <c r="C67" i="43"/>
  <c r="B76" i="43"/>
  <c r="B78" i="43"/>
  <c r="B80" i="43"/>
  <c r="B82" i="43"/>
  <c r="B84" i="43"/>
  <c r="B86" i="43"/>
  <c r="C88" i="43"/>
  <c r="B103" i="43"/>
  <c r="B111" i="43"/>
  <c r="C111" i="43"/>
  <c r="A130" i="43"/>
  <c r="B130" i="43" s="1"/>
  <c r="C7" i="43"/>
  <c r="C11" i="43"/>
  <c r="B21" i="43"/>
  <c r="B34" i="43"/>
  <c r="B38" i="43"/>
  <c r="C41" i="43"/>
  <c r="B64" i="43"/>
  <c r="C69" i="43"/>
  <c r="C94" i="43"/>
  <c r="C104" i="43"/>
  <c r="C112" i="43"/>
  <c r="C118" i="43"/>
  <c r="C74" i="43"/>
  <c r="B74" i="43"/>
  <c r="C43" i="43"/>
  <c r="V53" i="43"/>
  <c r="L128" i="43"/>
  <c r="C42" i="43"/>
  <c r="B42" i="43"/>
  <c r="B56" i="43"/>
  <c r="B71" i="43"/>
  <c r="C71" i="43"/>
  <c r="AA73" i="43"/>
  <c r="L125" i="43"/>
  <c r="C97" i="43"/>
  <c r="B97" i="43"/>
  <c r="B127" i="43"/>
  <c r="C127" i="43"/>
  <c r="C5" i="43"/>
  <c r="B5" i="43"/>
  <c r="C18" i="43"/>
  <c r="B18" i="43"/>
  <c r="B35" i="43"/>
  <c r="C35" i="43"/>
  <c r="B25" i="43"/>
  <c r="C25" i="43"/>
  <c r="B62" i="43"/>
  <c r="B15" i="43"/>
  <c r="C15" i="43"/>
  <c r="C51" i="43"/>
  <c r="B51" i="43"/>
  <c r="C59" i="43"/>
  <c r="B59" i="43"/>
  <c r="A139" i="43"/>
  <c r="C100" i="43"/>
  <c r="B100" i="43"/>
  <c r="B3" i="43"/>
  <c r="C3" i="43"/>
  <c r="C10" i="43"/>
  <c r="B10" i="43"/>
  <c r="C89" i="43"/>
  <c r="B89" i="43"/>
  <c r="B90" i="43"/>
  <c r="C90" i="43"/>
  <c r="L139" i="43"/>
  <c r="B110" i="43"/>
  <c r="C110" i="43"/>
  <c r="C113" i="43"/>
  <c r="B113" i="43"/>
  <c r="A132" i="43"/>
  <c r="B120" i="43"/>
  <c r="C120" i="43"/>
  <c r="A125" i="43"/>
  <c r="B143" i="43"/>
  <c r="C143" i="43"/>
  <c r="B19" i="43"/>
  <c r="C19" i="43"/>
  <c r="C26" i="43"/>
  <c r="B26" i="43"/>
  <c r="L140" i="43"/>
  <c r="C96" i="43"/>
  <c r="B96" i="43"/>
  <c r="B98" i="43"/>
  <c r="C98" i="43"/>
  <c r="C105" i="43"/>
  <c r="B105" i="43"/>
  <c r="A128" i="43"/>
  <c r="C116" i="43"/>
  <c r="A124" i="43"/>
  <c r="V65" i="43"/>
  <c r="B101" i="43"/>
  <c r="C106" i="43"/>
  <c r="A135" i="43"/>
  <c r="B123" i="43"/>
  <c r="B114" i="43"/>
  <c r="A126" i="43"/>
  <c r="C114" i="43"/>
  <c r="B116" i="43"/>
  <c r="C117" i="43"/>
  <c r="A129" i="43"/>
  <c r="C121" i="43"/>
  <c r="B121" i="43"/>
  <c r="B122" i="43"/>
  <c r="A134" i="43"/>
  <c r="A133" i="43"/>
  <c r="A142" i="43" l="1"/>
  <c r="C130" i="43"/>
  <c r="B126" i="43"/>
  <c r="A138" i="43"/>
  <c r="C126" i="43"/>
  <c r="B135" i="43"/>
  <c r="C135" i="43"/>
  <c r="C125" i="43"/>
  <c r="A137" i="43"/>
  <c r="B125" i="43"/>
  <c r="A144" i="43"/>
  <c r="B132" i="43"/>
  <c r="C132" i="43"/>
  <c r="AB73" i="43"/>
  <c r="C133" i="43"/>
  <c r="B133" i="43"/>
  <c r="A145" i="43"/>
  <c r="A140" i="43"/>
  <c r="C128" i="43"/>
  <c r="B128" i="43"/>
  <c r="C134" i="43"/>
  <c r="B134" i="43"/>
  <c r="A146" i="43"/>
  <c r="V66" i="43"/>
  <c r="B139" i="43"/>
  <c r="C139" i="43"/>
  <c r="C142" i="43"/>
  <c r="B142" i="43"/>
  <c r="A141" i="43"/>
  <c r="B129" i="43"/>
  <c r="C129" i="43"/>
  <c r="A136" i="43"/>
  <c r="C124" i="43"/>
  <c r="B124" i="43"/>
  <c r="V54" i="43"/>
  <c r="C136" i="43" l="1"/>
  <c r="B136" i="43"/>
  <c r="B145" i="43"/>
  <c r="C145" i="43"/>
  <c r="AC73" i="43"/>
  <c r="B141" i="43"/>
  <c r="C141" i="43"/>
  <c r="C140" i="43"/>
  <c r="B140" i="43"/>
  <c r="V67" i="43"/>
  <c r="C146" i="43"/>
  <c r="B146" i="43"/>
  <c r="C138" i="43"/>
  <c r="B138" i="43"/>
  <c r="C137" i="43"/>
  <c r="B137" i="43"/>
  <c r="V55" i="43"/>
  <c r="B144" i="43"/>
  <c r="C144" i="43"/>
  <c r="U123" i="34"/>
  <c r="U124" i="34"/>
  <c r="U125" i="34"/>
  <c r="U126" i="34"/>
  <c r="U127" i="34"/>
  <c r="U128" i="34"/>
  <c r="U129" i="34"/>
  <c r="U130" i="34"/>
  <c r="U131" i="34"/>
  <c r="U132" i="34"/>
  <c r="U133" i="34"/>
  <c r="U134" i="34"/>
  <c r="U135" i="34"/>
  <c r="U136" i="34"/>
  <c r="U137" i="34"/>
  <c r="U138" i="34"/>
  <c r="U139" i="34"/>
  <c r="U140" i="34"/>
  <c r="U141" i="34"/>
  <c r="U142" i="34"/>
  <c r="U143" i="34"/>
  <c r="U144" i="34"/>
  <c r="U145" i="34"/>
  <c r="U146" i="34"/>
  <c r="U147" i="34"/>
  <c r="U148" i="34"/>
  <c r="U149" i="34"/>
  <c r="U150" i="34"/>
  <c r="U151" i="34"/>
  <c r="U152" i="34"/>
  <c r="U153" i="34"/>
  <c r="U154" i="34"/>
  <c r="U155" i="34"/>
  <c r="U156" i="34"/>
  <c r="U157" i="34"/>
  <c r="U158" i="34"/>
  <c r="U159" i="34"/>
  <c r="U160" i="34"/>
  <c r="U161" i="34"/>
  <c r="U162" i="34"/>
  <c r="U163" i="34"/>
  <c r="U164" i="34"/>
  <c r="U165" i="34"/>
  <c r="U166" i="34"/>
  <c r="U167" i="34"/>
  <c r="U168" i="34"/>
  <c r="U169" i="34"/>
  <c r="U170" i="34"/>
  <c r="U171" i="34"/>
  <c r="U172" i="34"/>
  <c r="U173" i="34"/>
  <c r="U174" i="34"/>
  <c r="U175" i="34"/>
  <c r="U176" i="34"/>
  <c r="U177" i="34"/>
  <c r="U178" i="34"/>
  <c r="U179" i="34"/>
  <c r="U180" i="34"/>
  <c r="U181" i="34"/>
  <c r="U182" i="34"/>
  <c r="U183" i="34"/>
  <c r="U184" i="34"/>
  <c r="U185" i="34"/>
  <c r="U186" i="34"/>
  <c r="U187" i="34"/>
  <c r="U188" i="34"/>
  <c r="U189" i="34"/>
  <c r="U190" i="34"/>
  <c r="U191" i="34"/>
  <c r="U192" i="34"/>
  <c r="U193" i="34"/>
  <c r="U194" i="34"/>
  <c r="U195" i="34"/>
  <c r="U196" i="34"/>
  <c r="U197" i="34"/>
  <c r="U198" i="34"/>
  <c r="U199" i="34"/>
  <c r="U200" i="34"/>
  <c r="U201" i="34"/>
  <c r="U202" i="34"/>
  <c r="U203" i="34"/>
  <c r="U204" i="34"/>
  <c r="U205" i="34"/>
  <c r="U206" i="34"/>
  <c r="U207" i="34"/>
  <c r="U208" i="34"/>
  <c r="U209" i="34"/>
  <c r="U210" i="34"/>
  <c r="U211" i="34"/>
  <c r="U212" i="34"/>
  <c r="U213" i="34"/>
  <c r="U214" i="34"/>
  <c r="U215" i="34"/>
  <c r="U216" i="34"/>
  <c r="U217" i="34"/>
  <c r="U218" i="34"/>
  <c r="U219" i="34"/>
  <c r="U220" i="34"/>
  <c r="U221" i="34"/>
  <c r="U222" i="34"/>
  <c r="U223" i="34"/>
  <c r="U224" i="34"/>
  <c r="U225" i="34"/>
  <c r="U226" i="34"/>
  <c r="U227" i="34"/>
  <c r="U228" i="34"/>
  <c r="U229" i="34"/>
  <c r="U230" i="34"/>
  <c r="U231" i="34"/>
  <c r="U232" i="34"/>
  <c r="U233" i="34"/>
  <c r="U234" i="34"/>
  <c r="U235" i="34"/>
  <c r="U236" i="34"/>
  <c r="U237" i="34"/>
  <c r="U238" i="34"/>
  <c r="U239" i="34"/>
  <c r="U240" i="34"/>
  <c r="U241" i="34"/>
  <c r="U122" i="34"/>
  <c r="W122" i="34"/>
  <c r="V122" i="34"/>
  <c r="W171" i="34"/>
  <c r="T121" i="34"/>
  <c r="W1" i="17"/>
  <c r="F43" i="17"/>
  <c r="G43" i="17"/>
  <c r="H43" i="17"/>
  <c r="F44" i="17"/>
  <c r="G44" i="17"/>
  <c r="H44" i="17"/>
  <c r="V1" i="17"/>
  <c r="J32" i="17"/>
  <c r="C51" i="11"/>
  <c r="D51" i="11"/>
  <c r="E51" i="11"/>
  <c r="F51" i="11"/>
  <c r="G51" i="11"/>
  <c r="H51" i="11"/>
  <c r="I51" i="11"/>
  <c r="J51" i="11"/>
  <c r="K51" i="11"/>
  <c r="C41" i="11"/>
  <c r="D41" i="11"/>
  <c r="E41" i="11"/>
  <c r="F41" i="11"/>
  <c r="G41" i="11"/>
  <c r="H41" i="11"/>
  <c r="I41" i="11"/>
  <c r="J41" i="11"/>
  <c r="K41" i="11"/>
  <c r="C36" i="11"/>
  <c r="D36" i="11"/>
  <c r="E36" i="11"/>
  <c r="F36" i="11"/>
  <c r="G36" i="11"/>
  <c r="H36" i="11"/>
  <c r="I36" i="11"/>
  <c r="J36" i="11"/>
  <c r="K36" i="11"/>
  <c r="C27" i="11"/>
  <c r="D27" i="11"/>
  <c r="E27" i="11"/>
  <c r="F27" i="11"/>
  <c r="G27" i="11"/>
  <c r="H27" i="11"/>
  <c r="I27" i="11"/>
  <c r="J27" i="11"/>
  <c r="K27" i="11"/>
  <c r="B27" i="11"/>
  <c r="B36" i="11"/>
  <c r="B41" i="11"/>
  <c r="B51" i="11"/>
  <c r="C22" i="11"/>
  <c r="D22" i="11"/>
  <c r="E22" i="11"/>
  <c r="F22" i="11"/>
  <c r="G22" i="11"/>
  <c r="H22" i="11"/>
  <c r="I22" i="11"/>
  <c r="J22" i="11"/>
  <c r="K22" i="11"/>
  <c r="B22" i="11"/>
  <c r="B21" i="11"/>
  <c r="C40" i="11"/>
  <c r="D40" i="11"/>
  <c r="E40" i="11"/>
  <c r="F40" i="11"/>
  <c r="G40" i="11"/>
  <c r="H40" i="11"/>
  <c r="I40" i="11"/>
  <c r="J40" i="11"/>
  <c r="B40" i="11"/>
  <c r="C35" i="11"/>
  <c r="D35" i="11"/>
  <c r="E35" i="11"/>
  <c r="F35" i="11"/>
  <c r="G35" i="11"/>
  <c r="H35" i="11"/>
  <c r="I35" i="11"/>
  <c r="J35" i="11"/>
  <c r="B35" i="11"/>
  <c r="C31" i="11"/>
  <c r="D31" i="11"/>
  <c r="E31" i="11"/>
  <c r="F31" i="11"/>
  <c r="G31" i="11"/>
  <c r="H31" i="11"/>
  <c r="I31" i="11"/>
  <c r="J31" i="11"/>
  <c r="K31" i="11"/>
  <c r="B31" i="11"/>
  <c r="C26" i="11"/>
  <c r="D26" i="11"/>
  <c r="E26" i="11"/>
  <c r="F26" i="11"/>
  <c r="G26" i="11"/>
  <c r="H26" i="11"/>
  <c r="I26" i="11"/>
  <c r="J26" i="11"/>
  <c r="B26" i="11"/>
  <c r="C21" i="11"/>
  <c r="D21" i="11"/>
  <c r="E21" i="11"/>
  <c r="F21" i="11"/>
  <c r="G21" i="11"/>
  <c r="H21" i="11"/>
  <c r="I21" i="11"/>
  <c r="J21" i="11"/>
  <c r="E17" i="11"/>
  <c r="F17" i="11"/>
  <c r="G17" i="11"/>
  <c r="H17" i="11"/>
  <c r="I17" i="11"/>
  <c r="J17" i="11"/>
  <c r="K17" i="11"/>
  <c r="B17" i="11"/>
  <c r="C13" i="11"/>
  <c r="D13" i="11"/>
  <c r="E13" i="11"/>
  <c r="F13" i="11"/>
  <c r="G13" i="11"/>
  <c r="H13" i="11"/>
  <c r="I13" i="11"/>
  <c r="J13" i="11"/>
  <c r="K13" i="11"/>
  <c r="B13" i="11"/>
  <c r="H45" i="9"/>
  <c r="K4" i="39"/>
  <c r="K5" i="39"/>
  <c r="K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K50" i="39"/>
  <c r="K51" i="39"/>
  <c r="K52" i="39"/>
  <c r="K53" i="39"/>
  <c r="K54" i="39"/>
  <c r="K55" i="39"/>
  <c r="K56" i="39"/>
  <c r="K57" i="39"/>
  <c r="K58" i="39"/>
  <c r="K59" i="39"/>
  <c r="K60" i="39"/>
  <c r="K61" i="39"/>
  <c r="K62" i="39"/>
  <c r="K63" i="39"/>
  <c r="K64" i="39"/>
  <c r="K65" i="39"/>
  <c r="K66" i="39"/>
  <c r="K67" i="39"/>
  <c r="K68" i="39"/>
  <c r="K69" i="39"/>
  <c r="K70" i="39"/>
  <c r="K71" i="39"/>
  <c r="K72" i="39"/>
  <c r="K73" i="39"/>
  <c r="K74" i="39"/>
  <c r="K75" i="39"/>
  <c r="K76" i="39"/>
  <c r="K77" i="39"/>
  <c r="K78" i="39"/>
  <c r="K79" i="39"/>
  <c r="K80" i="39"/>
  <c r="K81" i="39"/>
  <c r="K82" i="39"/>
  <c r="K83" i="39"/>
  <c r="K84" i="39"/>
  <c r="K85" i="39"/>
  <c r="K86" i="39"/>
  <c r="K87" i="39"/>
  <c r="K88" i="39"/>
  <c r="K89" i="39"/>
  <c r="K90" i="39"/>
  <c r="K91" i="39"/>
  <c r="K92" i="39"/>
  <c r="K93" i="39"/>
  <c r="K94" i="39"/>
  <c r="K95" i="39"/>
  <c r="K96" i="39"/>
  <c r="K97" i="39"/>
  <c r="K98" i="39"/>
  <c r="K99" i="39"/>
  <c r="K100" i="39"/>
  <c r="K101" i="39"/>
  <c r="K102" i="39"/>
  <c r="K103" i="39"/>
  <c r="K104" i="39"/>
  <c r="K105" i="39"/>
  <c r="K106" i="39"/>
  <c r="K107" i="39"/>
  <c r="K108" i="39"/>
  <c r="K109" i="39"/>
  <c r="K110" i="39"/>
  <c r="K111" i="39"/>
  <c r="K112" i="39"/>
  <c r="K113" i="39"/>
  <c r="K114" i="39"/>
  <c r="K115" i="39"/>
  <c r="K116" i="39"/>
  <c r="K117" i="39"/>
  <c r="K118" i="39"/>
  <c r="K119" i="39"/>
  <c r="K120" i="39"/>
  <c r="K121" i="39"/>
  <c r="K122" i="39"/>
  <c r="K169" i="39"/>
  <c r="K170" i="39"/>
  <c r="K171" i="39"/>
  <c r="K172" i="39"/>
  <c r="K173" i="39"/>
  <c r="K174" i="39"/>
  <c r="K175" i="39"/>
  <c r="K176" i="39"/>
  <c r="K177" i="39"/>
  <c r="K178" i="39"/>
  <c r="K179" i="39"/>
  <c r="K180" i="39"/>
  <c r="K3" i="39"/>
  <c r="K2" i="39"/>
  <c r="J138" i="39"/>
  <c r="J172" i="39" s="1"/>
  <c r="J146" i="39"/>
  <c r="J180" i="39" s="1"/>
  <c r="AG51" i="35"/>
  <c r="AG52" i="35"/>
  <c r="AG53" i="35"/>
  <c r="AG54" i="35"/>
  <c r="J55" i="39" s="1"/>
  <c r="AG55" i="35"/>
  <c r="AG56" i="35"/>
  <c r="AG57" i="35"/>
  <c r="AG58" i="35"/>
  <c r="J59" i="39" s="1"/>
  <c r="AG59" i="35"/>
  <c r="AG60" i="35"/>
  <c r="AG61" i="35"/>
  <c r="AG62" i="35"/>
  <c r="AG63" i="35"/>
  <c r="AG64" i="35"/>
  <c r="AG65" i="35"/>
  <c r="J66" i="39" s="1"/>
  <c r="AG66" i="35"/>
  <c r="J67" i="39" s="1"/>
  <c r="AG67" i="35"/>
  <c r="AG68" i="35"/>
  <c r="AG69" i="35"/>
  <c r="J70" i="39" s="1"/>
  <c r="AG70" i="35"/>
  <c r="J71" i="39" s="1"/>
  <c r="AG71" i="35"/>
  <c r="AG72" i="35"/>
  <c r="AG73" i="35"/>
  <c r="J74" i="39" s="1"/>
  <c r="AG74" i="35"/>
  <c r="AG75" i="35"/>
  <c r="AG76" i="35"/>
  <c r="AG77" i="35"/>
  <c r="AG78" i="35"/>
  <c r="J79" i="39" s="1"/>
  <c r="J127" i="39" s="1"/>
  <c r="AG79" i="35"/>
  <c r="AG80" i="35"/>
  <c r="AG81" i="35"/>
  <c r="AG82" i="35"/>
  <c r="J83" i="39" s="1"/>
  <c r="J131" i="39" s="1"/>
  <c r="AG83" i="35"/>
  <c r="AG84" i="35"/>
  <c r="AG85" i="35"/>
  <c r="AG86" i="35"/>
  <c r="AG88" i="35"/>
  <c r="AG89" i="35"/>
  <c r="J90" i="39" s="1"/>
  <c r="AG90" i="35"/>
  <c r="J91" i="39" s="1"/>
  <c r="J139" i="39" s="1"/>
  <c r="J173" i="39" s="1"/>
  <c r="AG91" i="35"/>
  <c r="AG92" i="35"/>
  <c r="AG93" i="35"/>
  <c r="J94" i="39" s="1"/>
  <c r="J142" i="39" s="1"/>
  <c r="J176" i="39" s="1"/>
  <c r="AG94" i="35"/>
  <c r="J95" i="39" s="1"/>
  <c r="J143" i="39" s="1"/>
  <c r="J177" i="39" s="1"/>
  <c r="AG95" i="35"/>
  <c r="AG96" i="35"/>
  <c r="AG97" i="35"/>
  <c r="J98" i="39" s="1"/>
  <c r="AG98" i="35"/>
  <c r="AG99" i="35"/>
  <c r="AG100" i="35"/>
  <c r="AG101" i="35"/>
  <c r="AG102" i="35"/>
  <c r="J103" i="39" s="1"/>
  <c r="AG103" i="35"/>
  <c r="AG104" i="35"/>
  <c r="AG105" i="35"/>
  <c r="AG106" i="35"/>
  <c r="J107" i="39" s="1"/>
  <c r="AG107" i="35"/>
  <c r="AG108" i="35"/>
  <c r="AG109" i="35"/>
  <c r="AG110" i="35"/>
  <c r="AG111" i="35"/>
  <c r="AG112" i="35"/>
  <c r="AG113" i="35"/>
  <c r="J114" i="39" s="1"/>
  <c r="AG114" i="35"/>
  <c r="J115" i="39" s="1"/>
  <c r="AG115" i="35"/>
  <c r="AG116" i="35"/>
  <c r="AG117" i="35"/>
  <c r="J118" i="39" s="1"/>
  <c r="AG118" i="35"/>
  <c r="J119" i="39" s="1"/>
  <c r="AG119" i="35"/>
  <c r="AG120" i="35"/>
  <c r="AG121" i="35"/>
  <c r="J122" i="39" s="1"/>
  <c r="AG50" i="35"/>
  <c r="L169" i="39"/>
  <c r="L170" i="39"/>
  <c r="L171" i="39"/>
  <c r="L172" i="39"/>
  <c r="L173" i="39"/>
  <c r="L174" i="39"/>
  <c r="L175" i="39"/>
  <c r="L176" i="39"/>
  <c r="L177" i="39"/>
  <c r="L178" i="39"/>
  <c r="L179" i="39"/>
  <c r="L180" i="39"/>
  <c r="E2" i="39"/>
  <c r="D2" i="39"/>
  <c r="M3" i="39"/>
  <c r="M4" i="39"/>
  <c r="M5" i="39"/>
  <c r="M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M30" i="39"/>
  <c r="M31" i="39"/>
  <c r="M32" i="39"/>
  <c r="M33" i="39"/>
  <c r="M34" i="39"/>
  <c r="M35" i="39"/>
  <c r="M36" i="39"/>
  <c r="M37" i="39"/>
  <c r="M38" i="39"/>
  <c r="M39" i="39"/>
  <c r="M40" i="39"/>
  <c r="M41" i="39"/>
  <c r="M42" i="39"/>
  <c r="M43" i="39"/>
  <c r="M44" i="39"/>
  <c r="M45" i="39"/>
  <c r="M46" i="39"/>
  <c r="M47" i="39"/>
  <c r="M48" i="39"/>
  <c r="M49" i="39"/>
  <c r="M50" i="39"/>
  <c r="M51" i="39"/>
  <c r="M52" i="39"/>
  <c r="M53" i="39"/>
  <c r="M54" i="39"/>
  <c r="M55" i="39"/>
  <c r="M56" i="39"/>
  <c r="M57" i="39"/>
  <c r="M58" i="39"/>
  <c r="M59" i="39"/>
  <c r="M60" i="39"/>
  <c r="M61" i="39"/>
  <c r="M62" i="39"/>
  <c r="M63" i="39"/>
  <c r="M64" i="39"/>
  <c r="M65" i="39"/>
  <c r="M66" i="39"/>
  <c r="M67" i="39"/>
  <c r="M68" i="39"/>
  <c r="M69" i="39"/>
  <c r="M70" i="39"/>
  <c r="M71" i="39"/>
  <c r="M72" i="39"/>
  <c r="M73" i="39"/>
  <c r="M74" i="39"/>
  <c r="M75" i="39"/>
  <c r="M76" i="39"/>
  <c r="M77" i="39"/>
  <c r="M78" i="39"/>
  <c r="M79" i="39"/>
  <c r="M80" i="39"/>
  <c r="M81" i="39"/>
  <c r="M82" i="39"/>
  <c r="M83" i="39"/>
  <c r="M84" i="39"/>
  <c r="M85" i="39"/>
  <c r="M86" i="39"/>
  <c r="M87" i="39"/>
  <c r="M88" i="39"/>
  <c r="M89" i="39"/>
  <c r="M90" i="39"/>
  <c r="M91" i="39"/>
  <c r="M92" i="39"/>
  <c r="M93" i="39"/>
  <c r="M94" i="39"/>
  <c r="M95" i="39"/>
  <c r="M96" i="39"/>
  <c r="M97" i="39"/>
  <c r="M98" i="39"/>
  <c r="M99" i="39"/>
  <c r="M100" i="39"/>
  <c r="M101" i="39"/>
  <c r="M102" i="39"/>
  <c r="M103" i="39"/>
  <c r="M104" i="39"/>
  <c r="M105" i="39"/>
  <c r="M106" i="39"/>
  <c r="M107" i="39"/>
  <c r="M108" i="39"/>
  <c r="M109" i="39"/>
  <c r="M110" i="39"/>
  <c r="M111" i="39"/>
  <c r="M112" i="39"/>
  <c r="M113" i="39"/>
  <c r="M114" i="39"/>
  <c r="M115" i="39"/>
  <c r="M116" i="39"/>
  <c r="M117" i="39"/>
  <c r="M118" i="39"/>
  <c r="M119" i="39"/>
  <c r="M120" i="39"/>
  <c r="M121" i="39"/>
  <c r="M122" i="39"/>
  <c r="M123" i="39" s="1"/>
  <c r="M124" i="39" s="1"/>
  <c r="M125" i="39" s="1"/>
  <c r="M126" i="39" s="1"/>
  <c r="M127" i="39" s="1"/>
  <c r="M128" i="39" s="1"/>
  <c r="M129" i="39" s="1"/>
  <c r="M130" i="39" s="1"/>
  <c r="M131" i="39" s="1"/>
  <c r="M132" i="39" s="1"/>
  <c r="M133" i="39" s="1"/>
  <c r="M134" i="39" s="1"/>
  <c r="M135" i="39" s="1"/>
  <c r="M2" i="39"/>
  <c r="J3" i="39"/>
  <c r="J4" i="39"/>
  <c r="J5" i="39"/>
  <c r="J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J23" i="39"/>
  <c r="J24" i="39"/>
  <c r="J25" i="39"/>
  <c r="J26" i="39"/>
  <c r="J27" i="39"/>
  <c r="J29" i="39"/>
  <c r="J30" i="39"/>
  <c r="J31" i="39"/>
  <c r="J32" i="39"/>
  <c r="J33" i="39"/>
  <c r="J34" i="39"/>
  <c r="J35" i="39"/>
  <c r="J36" i="39"/>
  <c r="J37" i="39"/>
  <c r="J38" i="39"/>
  <c r="J39" i="39"/>
  <c r="J41" i="39"/>
  <c r="J42" i="39"/>
  <c r="J43" i="39"/>
  <c r="J44" i="39"/>
  <c r="J45" i="39"/>
  <c r="J46" i="39"/>
  <c r="J47" i="39"/>
  <c r="J48" i="39"/>
  <c r="J49" i="39"/>
  <c r="J50" i="39"/>
  <c r="J51" i="39"/>
  <c r="J53" i="39"/>
  <c r="J54" i="39"/>
  <c r="J56" i="39"/>
  <c r="J57" i="39"/>
  <c r="J58" i="39"/>
  <c r="J60" i="39"/>
  <c r="J61" i="39"/>
  <c r="J62" i="39"/>
  <c r="J65" i="39"/>
  <c r="J68" i="39"/>
  <c r="J69" i="39"/>
  <c r="J72" i="39"/>
  <c r="J73" i="39"/>
  <c r="J77" i="39"/>
  <c r="J125" i="39" s="1"/>
  <c r="J78" i="39"/>
  <c r="J126" i="39" s="1"/>
  <c r="J80" i="39"/>
  <c r="J128" i="39" s="1"/>
  <c r="J81" i="39"/>
  <c r="J129" i="39" s="1"/>
  <c r="J82" i="39"/>
  <c r="J130" i="39" s="1"/>
  <c r="J84" i="39"/>
  <c r="J132" i="39" s="1"/>
  <c r="J85" i="39"/>
  <c r="J133" i="39" s="1"/>
  <c r="J86" i="39"/>
  <c r="J134" i="39" s="1"/>
  <c r="J89" i="39"/>
  <c r="J137" i="39" s="1"/>
  <c r="J171" i="39" s="1"/>
  <c r="J92" i="39"/>
  <c r="J140" i="39" s="1"/>
  <c r="J174" i="39" s="1"/>
  <c r="J93" i="39"/>
  <c r="J141" i="39" s="1"/>
  <c r="J175" i="39" s="1"/>
  <c r="J96" i="39"/>
  <c r="J144" i="39" s="1"/>
  <c r="J178" i="39" s="1"/>
  <c r="J97" i="39"/>
  <c r="J145" i="39" s="1"/>
  <c r="J179" i="39" s="1"/>
  <c r="J101" i="39"/>
  <c r="J102" i="39"/>
  <c r="J104" i="39"/>
  <c r="J105" i="39"/>
  <c r="J106" i="39"/>
  <c r="J108" i="39"/>
  <c r="J109" i="39"/>
  <c r="J110" i="39"/>
  <c r="J113" i="39"/>
  <c r="J116" i="39"/>
  <c r="J117" i="39"/>
  <c r="J120" i="39"/>
  <c r="J121" i="39"/>
  <c r="J2" i="39"/>
  <c r="F2" i="39"/>
  <c r="E146" i="39"/>
  <c r="E145" i="39"/>
  <c r="E144" i="39"/>
  <c r="E143" i="39"/>
  <c r="E142" i="39"/>
  <c r="E141" i="39"/>
  <c r="E140" i="39"/>
  <c r="E139" i="39"/>
  <c r="E138" i="39"/>
  <c r="E137" i="39"/>
  <c r="E136" i="39"/>
  <c r="E135" i="39"/>
  <c r="E134" i="39"/>
  <c r="E133" i="39"/>
  <c r="E132" i="39"/>
  <c r="E131" i="39"/>
  <c r="E130" i="39"/>
  <c r="E129" i="39"/>
  <c r="E128" i="39"/>
  <c r="E127" i="39"/>
  <c r="E126" i="39"/>
  <c r="E125" i="39"/>
  <c r="E124" i="39"/>
  <c r="E123" i="39"/>
  <c r="A122" i="39"/>
  <c r="L121" i="17" s="1"/>
  <c r="A121" i="39"/>
  <c r="L120" i="17" s="1"/>
  <c r="A120" i="39"/>
  <c r="L119" i="17" s="1"/>
  <c r="A119" i="39"/>
  <c r="L118" i="17" s="1"/>
  <c r="A118" i="39"/>
  <c r="L117" i="17" s="1"/>
  <c r="A117" i="39"/>
  <c r="C117" i="39" s="1"/>
  <c r="N116" i="17" s="1"/>
  <c r="A116" i="39"/>
  <c r="C116" i="39" s="1"/>
  <c r="N115" i="17" s="1"/>
  <c r="A115" i="39"/>
  <c r="C115" i="39" s="1"/>
  <c r="N114" i="17" s="1"/>
  <c r="A114" i="39"/>
  <c r="A126" i="39" s="1"/>
  <c r="L125" i="17" s="1"/>
  <c r="A113" i="39"/>
  <c r="A112" i="39"/>
  <c r="A124" i="39" s="1"/>
  <c r="L123" i="17" s="1"/>
  <c r="A111" i="39"/>
  <c r="A110" i="39"/>
  <c r="B110" i="39" s="1"/>
  <c r="M109" i="17" s="1"/>
  <c r="A109" i="39"/>
  <c r="C109" i="39" s="1"/>
  <c r="N108" i="17" s="1"/>
  <c r="C108" i="39"/>
  <c r="N107" i="17" s="1"/>
  <c r="A108" i="39"/>
  <c r="B108" i="39" s="1"/>
  <c r="M107" i="17" s="1"/>
  <c r="A107" i="39"/>
  <c r="A106" i="39"/>
  <c r="C106" i="39" s="1"/>
  <c r="N105" i="17" s="1"/>
  <c r="A105" i="39"/>
  <c r="B105" i="39" s="1"/>
  <c r="M104" i="17" s="1"/>
  <c r="A104" i="39"/>
  <c r="C104" i="39" s="1"/>
  <c r="N103" i="17" s="1"/>
  <c r="A103" i="39"/>
  <c r="A102" i="39"/>
  <c r="C102" i="39" s="1"/>
  <c r="N101" i="17" s="1"/>
  <c r="A101" i="39"/>
  <c r="B101" i="39" s="1"/>
  <c r="M100" i="17" s="1"/>
  <c r="A100" i="39"/>
  <c r="C100" i="39" s="1"/>
  <c r="N99" i="17" s="1"/>
  <c r="A99" i="39"/>
  <c r="A98" i="39"/>
  <c r="B98" i="39" s="1"/>
  <c r="M97" i="17" s="1"/>
  <c r="A97" i="39"/>
  <c r="A96" i="39"/>
  <c r="B96" i="39" s="1"/>
  <c r="M95" i="17" s="1"/>
  <c r="A95" i="39"/>
  <c r="C95" i="39" s="1"/>
  <c r="N94" i="17" s="1"/>
  <c r="A94" i="39"/>
  <c r="B94" i="39" s="1"/>
  <c r="M93" i="17" s="1"/>
  <c r="A93" i="39"/>
  <c r="C92" i="39"/>
  <c r="N91" i="17" s="1"/>
  <c r="A92" i="39"/>
  <c r="B92" i="39" s="1"/>
  <c r="M91" i="17" s="1"/>
  <c r="A91" i="39"/>
  <c r="C91" i="39" s="1"/>
  <c r="N90" i="17" s="1"/>
  <c r="A90" i="39"/>
  <c r="C90" i="39" s="1"/>
  <c r="N89" i="17" s="1"/>
  <c r="A89" i="39"/>
  <c r="B89" i="39" s="1"/>
  <c r="M88" i="17" s="1"/>
  <c r="A88" i="39"/>
  <c r="C88" i="39" s="1"/>
  <c r="N87" i="17" s="1"/>
  <c r="A87" i="39"/>
  <c r="C87" i="39" s="1"/>
  <c r="N86" i="17" s="1"/>
  <c r="A86" i="39"/>
  <c r="C86" i="39" s="1"/>
  <c r="N85" i="17" s="1"/>
  <c r="A85" i="39"/>
  <c r="B85" i="39" s="1"/>
  <c r="M84" i="17" s="1"/>
  <c r="A84" i="39"/>
  <c r="C84" i="39" s="1"/>
  <c r="N83" i="17" s="1"/>
  <c r="A83" i="39"/>
  <c r="A82" i="39"/>
  <c r="B82" i="39" s="1"/>
  <c r="M81" i="17" s="1"/>
  <c r="A81" i="39"/>
  <c r="C81" i="39" s="1"/>
  <c r="N80" i="17" s="1"/>
  <c r="A80" i="39"/>
  <c r="B80" i="39" s="1"/>
  <c r="M79" i="17" s="1"/>
  <c r="A79" i="39"/>
  <c r="C79" i="39" s="1"/>
  <c r="N78" i="17" s="1"/>
  <c r="C78" i="39"/>
  <c r="N77" i="17" s="1"/>
  <c r="A78" i="39"/>
  <c r="B78" i="39" s="1"/>
  <c r="M77" i="17" s="1"/>
  <c r="A77" i="39"/>
  <c r="A76" i="39"/>
  <c r="B76" i="39" s="1"/>
  <c r="M75" i="17" s="1"/>
  <c r="A75" i="39"/>
  <c r="C75" i="39" s="1"/>
  <c r="N74" i="17" s="1"/>
  <c r="A74" i="39"/>
  <c r="C74" i="39" s="1"/>
  <c r="N73" i="17" s="1"/>
  <c r="A73" i="39"/>
  <c r="B73" i="39" s="1"/>
  <c r="M72" i="17" s="1"/>
  <c r="A72" i="39"/>
  <c r="B72" i="39" s="1"/>
  <c r="M71" i="17" s="1"/>
  <c r="A71" i="39"/>
  <c r="L70" i="17" s="1"/>
  <c r="A70" i="39"/>
  <c r="L69" i="17" s="1"/>
  <c r="A69" i="39"/>
  <c r="L68" i="17" s="1"/>
  <c r="A68" i="39"/>
  <c r="L67" i="17" s="1"/>
  <c r="A67" i="39"/>
  <c r="L66" i="17" s="1"/>
  <c r="A66" i="39"/>
  <c r="L65" i="17" s="1"/>
  <c r="A65" i="39"/>
  <c r="B65" i="39" s="1"/>
  <c r="M64" i="17" s="1"/>
  <c r="B64" i="39"/>
  <c r="M63" i="17" s="1"/>
  <c r="A64" i="39"/>
  <c r="C64" i="39" s="1"/>
  <c r="N63" i="17" s="1"/>
  <c r="A63" i="39"/>
  <c r="B63" i="39" s="1"/>
  <c r="M62" i="17" s="1"/>
  <c r="A62" i="39"/>
  <c r="C62" i="39" s="1"/>
  <c r="N61" i="17" s="1"/>
  <c r="C61" i="39"/>
  <c r="N60" i="17" s="1"/>
  <c r="A61" i="39"/>
  <c r="B61" i="39" s="1"/>
  <c r="M60" i="17" s="1"/>
  <c r="A60" i="39"/>
  <c r="B60" i="39" s="1"/>
  <c r="M59" i="17" s="1"/>
  <c r="A59" i="39"/>
  <c r="C59" i="39" s="1"/>
  <c r="N58" i="17" s="1"/>
  <c r="A58" i="39"/>
  <c r="C58" i="39" s="1"/>
  <c r="N57" i="17" s="1"/>
  <c r="C57" i="39"/>
  <c r="N56" i="17" s="1"/>
  <c r="A57" i="39"/>
  <c r="B57" i="39" s="1"/>
  <c r="M56" i="17" s="1"/>
  <c r="A56" i="39"/>
  <c r="B56" i="39" s="1"/>
  <c r="M55" i="17" s="1"/>
  <c r="A55" i="39"/>
  <c r="C55" i="39" s="1"/>
  <c r="N54" i="17" s="1"/>
  <c r="A54" i="39"/>
  <c r="C54" i="39" s="1"/>
  <c r="N53" i="17" s="1"/>
  <c r="C53" i="39"/>
  <c r="N52" i="17" s="1"/>
  <c r="A53" i="39"/>
  <c r="B53" i="39" s="1"/>
  <c r="M52" i="17" s="1"/>
  <c r="A52" i="39"/>
  <c r="B52" i="39" s="1"/>
  <c r="M51" i="17" s="1"/>
  <c r="A51" i="39"/>
  <c r="C51" i="39" s="1"/>
  <c r="N50" i="17" s="1"/>
  <c r="A50" i="39"/>
  <c r="A49" i="39"/>
  <c r="C49" i="39" s="1"/>
  <c r="N48" i="17" s="1"/>
  <c r="A48" i="39"/>
  <c r="C48" i="39" s="1"/>
  <c r="N47" i="17" s="1"/>
  <c r="A47" i="39"/>
  <c r="A46" i="39"/>
  <c r="A45" i="39"/>
  <c r="C45" i="39" s="1"/>
  <c r="N44" i="17" s="1"/>
  <c r="A44" i="39"/>
  <c r="C44" i="39" s="1"/>
  <c r="N43" i="17" s="1"/>
  <c r="A43" i="39"/>
  <c r="A42" i="39"/>
  <c r="A41" i="39"/>
  <c r="C41" i="39" s="1"/>
  <c r="N40" i="17" s="1"/>
  <c r="A40" i="39"/>
  <c r="C40" i="39" s="1"/>
  <c r="N39" i="17" s="1"/>
  <c r="A39" i="39"/>
  <c r="A38" i="39"/>
  <c r="A37" i="39"/>
  <c r="A36" i="39"/>
  <c r="A35" i="39"/>
  <c r="C35" i="39" s="1"/>
  <c r="N34" i="17" s="1"/>
  <c r="A34" i="39"/>
  <c r="A33" i="39"/>
  <c r="A32" i="39"/>
  <c r="C32" i="39" s="1"/>
  <c r="N31" i="17" s="1"/>
  <c r="A31" i="39"/>
  <c r="A30" i="39"/>
  <c r="C30" i="39" s="1"/>
  <c r="N29" i="17" s="1"/>
  <c r="A29" i="39"/>
  <c r="A28" i="39"/>
  <c r="C28" i="39" s="1"/>
  <c r="N27" i="17" s="1"/>
  <c r="A27" i="39"/>
  <c r="A26" i="39"/>
  <c r="C26" i="39" s="1"/>
  <c r="N25" i="17" s="1"/>
  <c r="A25" i="39"/>
  <c r="A24" i="39"/>
  <c r="A23" i="39"/>
  <c r="C23" i="39" s="1"/>
  <c r="N22" i="17" s="1"/>
  <c r="A22" i="39"/>
  <c r="A21" i="39"/>
  <c r="A20" i="39"/>
  <c r="A19" i="39"/>
  <c r="C19" i="39" s="1"/>
  <c r="N18" i="17" s="1"/>
  <c r="A18" i="39"/>
  <c r="A17" i="39"/>
  <c r="A16" i="39"/>
  <c r="C16" i="39" s="1"/>
  <c r="N15" i="17" s="1"/>
  <c r="A15" i="39"/>
  <c r="A14" i="39"/>
  <c r="C14" i="39" s="1"/>
  <c r="N13" i="17" s="1"/>
  <c r="A13" i="39"/>
  <c r="A12" i="39"/>
  <c r="C12" i="39" s="1"/>
  <c r="N11" i="17" s="1"/>
  <c r="A11" i="39"/>
  <c r="A10" i="39"/>
  <c r="C10" i="39" s="1"/>
  <c r="N9" i="17" s="1"/>
  <c r="A9" i="39"/>
  <c r="A8" i="39"/>
  <c r="A7" i="39"/>
  <c r="C7" i="39" s="1"/>
  <c r="N6" i="17" s="1"/>
  <c r="A6" i="39"/>
  <c r="A5" i="39"/>
  <c r="A4" i="39"/>
  <c r="B4" i="39" s="1"/>
  <c r="M3" i="17" s="1"/>
  <c r="A3" i="39"/>
  <c r="L2" i="17" s="1"/>
  <c r="X123" i="34"/>
  <c r="X124" i="34"/>
  <c r="X125" i="34"/>
  <c r="X126" i="34"/>
  <c r="X127" i="34"/>
  <c r="X128" i="34"/>
  <c r="X129" i="34"/>
  <c r="X130" i="34"/>
  <c r="X131" i="34"/>
  <c r="X132" i="34"/>
  <c r="X133" i="34"/>
  <c r="X134" i="34"/>
  <c r="X135" i="34"/>
  <c r="X136" i="34"/>
  <c r="X137" i="34"/>
  <c r="X138" i="34"/>
  <c r="X139" i="34"/>
  <c r="X140" i="34"/>
  <c r="X141" i="34"/>
  <c r="X142" i="34"/>
  <c r="X143" i="34"/>
  <c r="X144" i="34"/>
  <c r="X145" i="34"/>
  <c r="X146" i="34"/>
  <c r="X147" i="34"/>
  <c r="X148" i="34"/>
  <c r="X149" i="34"/>
  <c r="X150" i="34"/>
  <c r="X151" i="34"/>
  <c r="X152" i="34"/>
  <c r="X153" i="34"/>
  <c r="X154" i="34"/>
  <c r="X155" i="34"/>
  <c r="X156" i="34"/>
  <c r="X157" i="34"/>
  <c r="X158" i="34"/>
  <c r="X159" i="34"/>
  <c r="X160" i="34"/>
  <c r="X161" i="34"/>
  <c r="X162" i="34"/>
  <c r="X163" i="34"/>
  <c r="X164" i="34"/>
  <c r="X165" i="34"/>
  <c r="X166" i="34"/>
  <c r="X167" i="34"/>
  <c r="X168" i="34"/>
  <c r="X169" i="34"/>
  <c r="X170" i="34"/>
  <c r="X171" i="34"/>
  <c r="X172" i="34"/>
  <c r="X173" i="34"/>
  <c r="X174" i="34"/>
  <c r="X175" i="34"/>
  <c r="X176" i="34"/>
  <c r="X177" i="34"/>
  <c r="X178" i="34"/>
  <c r="X179" i="34"/>
  <c r="X180" i="34"/>
  <c r="X181" i="34"/>
  <c r="X182" i="34"/>
  <c r="X183" i="34"/>
  <c r="X184" i="34"/>
  <c r="X185" i="34"/>
  <c r="X186" i="34"/>
  <c r="X187" i="34"/>
  <c r="X188" i="34"/>
  <c r="X189" i="34"/>
  <c r="X190" i="34"/>
  <c r="X191" i="34"/>
  <c r="X192" i="34"/>
  <c r="X193" i="34"/>
  <c r="X194" i="34"/>
  <c r="X195" i="34"/>
  <c r="X196" i="34"/>
  <c r="X197" i="34"/>
  <c r="X198" i="34"/>
  <c r="X199" i="34"/>
  <c r="X200" i="34"/>
  <c r="X201" i="34"/>
  <c r="X202" i="34"/>
  <c r="X203" i="34"/>
  <c r="X204" i="34"/>
  <c r="X205" i="34"/>
  <c r="X206" i="34"/>
  <c r="X207" i="34"/>
  <c r="X208" i="34"/>
  <c r="X209" i="34"/>
  <c r="X210" i="34"/>
  <c r="X211" i="34"/>
  <c r="X212" i="34"/>
  <c r="X213" i="34"/>
  <c r="X214" i="34"/>
  <c r="X215" i="34"/>
  <c r="X216" i="34"/>
  <c r="X217" i="34"/>
  <c r="X218" i="34"/>
  <c r="X219" i="34"/>
  <c r="X220" i="34"/>
  <c r="X221" i="34"/>
  <c r="X222" i="34"/>
  <c r="X223" i="34"/>
  <c r="X224" i="34"/>
  <c r="X225" i="34"/>
  <c r="X226" i="34"/>
  <c r="X227" i="34"/>
  <c r="X228" i="34"/>
  <c r="X229" i="34"/>
  <c r="X230" i="34"/>
  <c r="X231" i="34"/>
  <c r="X232" i="34"/>
  <c r="X233" i="34"/>
  <c r="X234" i="34"/>
  <c r="X235" i="34"/>
  <c r="X236" i="34"/>
  <c r="X237" i="34"/>
  <c r="X238" i="34"/>
  <c r="X239" i="34"/>
  <c r="X240" i="34"/>
  <c r="X241" i="34"/>
  <c r="X122" i="34"/>
  <c r="S1" i="34"/>
  <c r="AZ116" i="35"/>
  <c r="AZ117" i="35"/>
  <c r="AZ118" i="35"/>
  <c r="AZ119" i="35"/>
  <c r="AZ120" i="35"/>
  <c r="AZ121" i="35"/>
  <c r="AZ115" i="35"/>
  <c r="AZ112" i="35"/>
  <c r="AZ3" i="35"/>
  <c r="AZ4" i="35"/>
  <c r="AZ5" i="35"/>
  <c r="AZ6" i="35"/>
  <c r="AZ7" i="35"/>
  <c r="AZ8" i="35"/>
  <c r="AZ9" i="35"/>
  <c r="AZ10" i="35"/>
  <c r="AZ11" i="35"/>
  <c r="AZ12" i="35"/>
  <c r="AZ13" i="35"/>
  <c r="AZ14" i="35"/>
  <c r="AZ15" i="35"/>
  <c r="AZ16" i="35"/>
  <c r="AZ17" i="35"/>
  <c r="AZ18" i="35"/>
  <c r="AZ19" i="35"/>
  <c r="AZ20" i="35"/>
  <c r="AZ21" i="35"/>
  <c r="AZ22" i="35"/>
  <c r="AZ23" i="35"/>
  <c r="AZ24" i="35"/>
  <c r="AZ25" i="35"/>
  <c r="AZ26" i="35"/>
  <c r="AZ27" i="35"/>
  <c r="AZ28" i="35"/>
  <c r="AZ29" i="35"/>
  <c r="AZ30" i="35"/>
  <c r="AZ31" i="35"/>
  <c r="AZ32" i="35"/>
  <c r="AZ33" i="35"/>
  <c r="AZ34" i="35"/>
  <c r="AZ35" i="35"/>
  <c r="AZ36" i="35"/>
  <c r="AZ37" i="35"/>
  <c r="AZ38" i="35"/>
  <c r="AZ39" i="35"/>
  <c r="AZ40" i="35"/>
  <c r="AZ41" i="35"/>
  <c r="AZ42" i="35"/>
  <c r="AZ43" i="35"/>
  <c r="AZ44" i="35"/>
  <c r="AZ45" i="35"/>
  <c r="AZ46" i="35"/>
  <c r="AZ47" i="35"/>
  <c r="AZ48" i="35"/>
  <c r="AZ49" i="35"/>
  <c r="AZ50" i="35"/>
  <c r="AZ51" i="35"/>
  <c r="AZ52" i="35"/>
  <c r="AZ53" i="35"/>
  <c r="AZ54" i="35"/>
  <c r="AZ55" i="35"/>
  <c r="AZ56" i="35"/>
  <c r="AZ57" i="35"/>
  <c r="AZ58" i="35"/>
  <c r="AZ59" i="35"/>
  <c r="AZ60" i="35"/>
  <c r="AZ61" i="35"/>
  <c r="AZ62" i="35"/>
  <c r="AZ63" i="35"/>
  <c r="AZ64" i="35"/>
  <c r="AZ65" i="35"/>
  <c r="AZ66" i="35"/>
  <c r="AZ67" i="35"/>
  <c r="AZ68" i="35"/>
  <c r="AZ69" i="35"/>
  <c r="AZ70" i="35"/>
  <c r="AZ71" i="35"/>
  <c r="AZ72" i="35"/>
  <c r="AZ73" i="35"/>
  <c r="AZ74" i="35"/>
  <c r="AZ75" i="35"/>
  <c r="AZ76" i="35"/>
  <c r="AZ77" i="35"/>
  <c r="AZ78" i="35"/>
  <c r="AZ79" i="35"/>
  <c r="AZ80" i="35"/>
  <c r="AZ81" i="35"/>
  <c r="AZ82" i="35"/>
  <c r="AZ83" i="35"/>
  <c r="AZ84" i="35"/>
  <c r="AZ85" i="35"/>
  <c r="AZ86" i="35"/>
  <c r="AZ87" i="35"/>
  <c r="AZ88" i="35"/>
  <c r="AZ89" i="35"/>
  <c r="AZ90" i="35"/>
  <c r="AZ91" i="35"/>
  <c r="AZ92" i="35"/>
  <c r="AZ93" i="35"/>
  <c r="AZ94" i="35"/>
  <c r="AZ95" i="35"/>
  <c r="AZ96" i="35"/>
  <c r="AZ97" i="35"/>
  <c r="AZ98" i="35"/>
  <c r="AZ99" i="35"/>
  <c r="AZ100" i="35"/>
  <c r="AZ101" i="35"/>
  <c r="AZ102" i="35"/>
  <c r="AZ103" i="35"/>
  <c r="AZ104" i="35"/>
  <c r="AZ105" i="35"/>
  <c r="AZ106" i="35"/>
  <c r="AZ107" i="35"/>
  <c r="AZ108" i="35"/>
  <c r="AZ109" i="35"/>
  <c r="AZ110" i="35"/>
  <c r="AZ111" i="35"/>
  <c r="AZ113" i="35"/>
  <c r="AZ114" i="35"/>
  <c r="AZ2" i="35"/>
  <c r="C8" i="37"/>
  <c r="C12" i="37"/>
  <c r="C5" i="37"/>
  <c r="N19" i="37"/>
  <c r="B5" i="37" s="1"/>
  <c r="B4" i="37"/>
  <c r="A5" i="37"/>
  <c r="A6" i="37" s="1"/>
  <c r="A7" i="37" s="1"/>
  <c r="A8" i="37" s="1"/>
  <c r="A9" i="37" s="1"/>
  <c r="A10" i="37" s="1"/>
  <c r="A11" i="37" s="1"/>
  <c r="A12" i="37" s="1"/>
  <c r="A13" i="37" s="1"/>
  <c r="A14" i="37" s="1"/>
  <c r="A15" i="37" s="1"/>
  <c r="X19" i="37"/>
  <c r="B15" i="37" s="1"/>
  <c r="W19" i="37"/>
  <c r="B14" i="37" s="1"/>
  <c r="V19" i="37"/>
  <c r="B13" i="37" s="1"/>
  <c r="U19" i="37"/>
  <c r="B12" i="37" s="1"/>
  <c r="T19" i="37"/>
  <c r="B11" i="37" s="1"/>
  <c r="S19" i="37"/>
  <c r="B10" i="37" s="1"/>
  <c r="R19" i="37"/>
  <c r="B9" i="37" s="1"/>
  <c r="Q19" i="37"/>
  <c r="B8" i="37" s="1"/>
  <c r="P19" i="37"/>
  <c r="B7" i="37" s="1"/>
  <c r="O19" i="37"/>
  <c r="B6" i="37" s="1"/>
  <c r="X17" i="37"/>
  <c r="X18" i="37" s="1"/>
  <c r="W17" i="37"/>
  <c r="W18" i="37" s="1"/>
  <c r="V17" i="37"/>
  <c r="V18" i="37" s="1"/>
  <c r="U17" i="37"/>
  <c r="U18" i="37" s="1"/>
  <c r="T17" i="37"/>
  <c r="T18" i="37" s="1"/>
  <c r="S17" i="37"/>
  <c r="S18" i="37" s="1"/>
  <c r="R17" i="37"/>
  <c r="R18" i="37" s="1"/>
  <c r="Q17" i="37"/>
  <c r="Q18" i="37" s="1"/>
  <c r="P17" i="37"/>
  <c r="P18" i="37" s="1"/>
  <c r="O17" i="37"/>
  <c r="O18" i="37" s="1"/>
  <c r="N17" i="37"/>
  <c r="N18" i="37" s="1"/>
  <c r="M17" i="37"/>
  <c r="M18" i="37" s="1"/>
  <c r="M21" i="37" s="1"/>
  <c r="I4" i="37" s="1"/>
  <c r="N15" i="37"/>
  <c r="C6" i="37" s="1"/>
  <c r="O15" i="37"/>
  <c r="C7" i="37" s="1"/>
  <c r="P15" i="37"/>
  <c r="Q15" i="37"/>
  <c r="C9" i="37" s="1"/>
  <c r="R15" i="37"/>
  <c r="C10" i="37" s="1"/>
  <c r="S15" i="37"/>
  <c r="C11" i="37" s="1"/>
  <c r="T15" i="37"/>
  <c r="U15" i="37"/>
  <c r="C13" i="37" s="1"/>
  <c r="V15" i="37"/>
  <c r="C14" i="37" s="1"/>
  <c r="W15" i="37"/>
  <c r="C15" i="37" s="1"/>
  <c r="X15" i="37"/>
  <c r="M15" i="37"/>
  <c r="C76" i="39" l="1"/>
  <c r="N75" i="17" s="1"/>
  <c r="C82" i="39"/>
  <c r="N81" i="17" s="1"/>
  <c r="C98" i="39"/>
  <c r="N97" i="17" s="1"/>
  <c r="C114" i="39"/>
  <c r="N113" i="17" s="1"/>
  <c r="C52" i="39"/>
  <c r="N51" i="17" s="1"/>
  <c r="C56" i="39"/>
  <c r="N55" i="17" s="1"/>
  <c r="C60" i="39"/>
  <c r="N59" i="17" s="1"/>
  <c r="B66" i="39"/>
  <c r="M65" i="17" s="1"/>
  <c r="C72" i="39"/>
  <c r="N71" i="17" s="1"/>
  <c r="C80" i="39"/>
  <c r="N79" i="17" s="1"/>
  <c r="C96" i="39"/>
  <c r="N95" i="17" s="1"/>
  <c r="C112" i="39"/>
  <c r="N111" i="17" s="1"/>
  <c r="C66" i="39"/>
  <c r="N65" i="17" s="1"/>
  <c r="C94" i="39"/>
  <c r="N93" i="17" s="1"/>
  <c r="C110" i="39"/>
  <c r="N109" i="17" s="1"/>
  <c r="M136" i="39"/>
  <c r="M169" i="39"/>
  <c r="C9" i="39"/>
  <c r="N8" i="17" s="1"/>
  <c r="L8" i="17"/>
  <c r="C8" i="39"/>
  <c r="N7" i="17" s="1"/>
  <c r="L7" i="17"/>
  <c r="C20" i="39"/>
  <c r="N19" i="17" s="1"/>
  <c r="L19" i="17"/>
  <c r="C24" i="39"/>
  <c r="N23" i="17" s="1"/>
  <c r="L23" i="17"/>
  <c r="C36" i="39"/>
  <c r="N35" i="17" s="1"/>
  <c r="L35" i="17"/>
  <c r="B51" i="39"/>
  <c r="M50" i="17" s="1"/>
  <c r="L50" i="17"/>
  <c r="B55" i="39"/>
  <c r="M54" i="17" s="1"/>
  <c r="L54" i="17"/>
  <c r="B59" i="39"/>
  <c r="M58" i="17" s="1"/>
  <c r="L58" i="17"/>
  <c r="C63" i="39"/>
  <c r="N62" i="17" s="1"/>
  <c r="L62" i="17"/>
  <c r="L59" i="17"/>
  <c r="L51" i="17"/>
  <c r="L43" i="17"/>
  <c r="L31" i="17"/>
  <c r="L13" i="17"/>
  <c r="L6" i="17"/>
  <c r="L113" i="17"/>
  <c r="L95" i="17"/>
  <c r="L88" i="17"/>
  <c r="L81" i="17"/>
  <c r="L64" i="17"/>
  <c r="L56" i="17"/>
  <c r="L48" i="17"/>
  <c r="L40" i="17"/>
  <c r="L34" i="17"/>
  <c r="L27" i="17"/>
  <c r="L9" i="17"/>
  <c r="L116" i="17"/>
  <c r="L109" i="17"/>
  <c r="L91" i="17"/>
  <c r="L84" i="17"/>
  <c r="L77" i="17"/>
  <c r="C13" i="39"/>
  <c r="N12" i="17" s="1"/>
  <c r="L12" i="17"/>
  <c r="C21" i="39"/>
  <c r="N20" i="17" s="1"/>
  <c r="L20" i="17"/>
  <c r="C29" i="39"/>
  <c r="N28" i="17" s="1"/>
  <c r="L28" i="17"/>
  <c r="C33" i="39"/>
  <c r="N32" i="17" s="1"/>
  <c r="L32" i="17"/>
  <c r="B77" i="39"/>
  <c r="M76" i="17" s="1"/>
  <c r="L76" i="17"/>
  <c r="B83" i="39"/>
  <c r="M82" i="17" s="1"/>
  <c r="L82" i="17"/>
  <c r="B93" i="39"/>
  <c r="M92" i="17" s="1"/>
  <c r="L92" i="17"/>
  <c r="B97" i="39"/>
  <c r="M96" i="17" s="1"/>
  <c r="L96" i="17"/>
  <c r="B99" i="39"/>
  <c r="M98" i="17" s="1"/>
  <c r="L98" i="17"/>
  <c r="B103" i="39"/>
  <c r="M102" i="17" s="1"/>
  <c r="L102" i="17"/>
  <c r="B107" i="39"/>
  <c r="M106" i="17" s="1"/>
  <c r="L106" i="17"/>
  <c r="B111" i="39"/>
  <c r="M110" i="17" s="1"/>
  <c r="L110" i="17"/>
  <c r="A125" i="39"/>
  <c r="L124" i="17" s="1"/>
  <c r="L112" i="17"/>
  <c r="C6" i="39"/>
  <c r="N5" i="17" s="1"/>
  <c r="L5" i="17"/>
  <c r="C18" i="39"/>
  <c r="N17" i="17" s="1"/>
  <c r="L17" i="17"/>
  <c r="C22" i="39"/>
  <c r="N21" i="17" s="1"/>
  <c r="L21" i="17"/>
  <c r="C34" i="39"/>
  <c r="N33" i="17" s="1"/>
  <c r="L33" i="17"/>
  <c r="C38" i="39"/>
  <c r="N37" i="17" s="1"/>
  <c r="L37" i="17"/>
  <c r="C42" i="39"/>
  <c r="N41" i="17" s="1"/>
  <c r="L41" i="17"/>
  <c r="C46" i="39"/>
  <c r="N45" i="17" s="1"/>
  <c r="L45" i="17"/>
  <c r="B50" i="39"/>
  <c r="M49" i="17" s="1"/>
  <c r="L49" i="17"/>
  <c r="B54" i="39"/>
  <c r="M53" i="17" s="1"/>
  <c r="L53" i="17"/>
  <c r="B58" i="39"/>
  <c r="M57" i="17" s="1"/>
  <c r="L57" i="17"/>
  <c r="B62" i="39"/>
  <c r="M61" i="17" s="1"/>
  <c r="L61" i="17"/>
  <c r="C65" i="39"/>
  <c r="N64" i="17" s="1"/>
  <c r="C73" i="39"/>
  <c r="N72" i="17" s="1"/>
  <c r="C77" i="39"/>
  <c r="N76" i="17" s="1"/>
  <c r="C83" i="39"/>
  <c r="N82" i="17" s="1"/>
  <c r="C85" i="39"/>
  <c r="N84" i="17" s="1"/>
  <c r="C89" i="39"/>
  <c r="N88" i="17" s="1"/>
  <c r="C93" i="39"/>
  <c r="N92" i="17" s="1"/>
  <c r="C97" i="39"/>
  <c r="N96" i="17" s="1"/>
  <c r="C99" i="39"/>
  <c r="N98" i="17" s="1"/>
  <c r="C101" i="39"/>
  <c r="N100" i="17" s="1"/>
  <c r="C103" i="39"/>
  <c r="N102" i="17" s="1"/>
  <c r="C105" i="39"/>
  <c r="N104" i="17" s="1"/>
  <c r="C107" i="39"/>
  <c r="N106" i="17" s="1"/>
  <c r="C111" i="39"/>
  <c r="N110" i="17" s="1"/>
  <c r="C113" i="39"/>
  <c r="N112" i="17" s="1"/>
  <c r="L71" i="17"/>
  <c r="L63" i="17"/>
  <c r="L55" i="17"/>
  <c r="L47" i="17"/>
  <c r="L39" i="17"/>
  <c r="L29" i="17"/>
  <c r="L22" i="17"/>
  <c r="L15" i="17"/>
  <c r="L111" i="17"/>
  <c r="L104" i="17"/>
  <c r="L97" i="17"/>
  <c r="L79" i="17"/>
  <c r="L72" i="17"/>
  <c r="C5" i="39"/>
  <c r="N4" i="17" s="1"/>
  <c r="L4" i="17"/>
  <c r="C17" i="39"/>
  <c r="N16" i="17" s="1"/>
  <c r="L16" i="17"/>
  <c r="C25" i="39"/>
  <c r="N24" i="17" s="1"/>
  <c r="L24" i="17"/>
  <c r="C37" i="39"/>
  <c r="N36" i="17" s="1"/>
  <c r="L36" i="17"/>
  <c r="B75" i="39"/>
  <c r="M74" i="17" s="1"/>
  <c r="L74" i="17"/>
  <c r="B79" i="39"/>
  <c r="M78" i="17" s="1"/>
  <c r="L78" i="17"/>
  <c r="B81" i="39"/>
  <c r="M80" i="17" s="1"/>
  <c r="L80" i="17"/>
  <c r="B87" i="39"/>
  <c r="M86" i="17" s="1"/>
  <c r="L86" i="17"/>
  <c r="B91" i="39"/>
  <c r="M90" i="17" s="1"/>
  <c r="L90" i="17"/>
  <c r="B95" i="39"/>
  <c r="M94" i="17" s="1"/>
  <c r="L94" i="17"/>
  <c r="B109" i="39"/>
  <c r="M108" i="17" s="1"/>
  <c r="L108" i="17"/>
  <c r="A127" i="39"/>
  <c r="L126" i="17" s="1"/>
  <c r="L114" i="17"/>
  <c r="C4" i="39"/>
  <c r="N3" i="17" s="1"/>
  <c r="L3" i="17"/>
  <c r="C11" i="39"/>
  <c r="N10" i="17" s="1"/>
  <c r="L10" i="17"/>
  <c r="C15" i="39"/>
  <c r="N14" i="17" s="1"/>
  <c r="L14" i="17"/>
  <c r="C27" i="39"/>
  <c r="N26" i="17" s="1"/>
  <c r="L26" i="17"/>
  <c r="C31" i="39"/>
  <c r="N30" i="17" s="1"/>
  <c r="L30" i="17"/>
  <c r="C39" i="39"/>
  <c r="N38" i="17" s="1"/>
  <c r="L38" i="17"/>
  <c r="C43" i="39"/>
  <c r="N42" i="17" s="1"/>
  <c r="L42" i="17"/>
  <c r="C47" i="39"/>
  <c r="N46" i="17" s="1"/>
  <c r="L46" i="17"/>
  <c r="B74" i="39"/>
  <c r="M73" i="17" s="1"/>
  <c r="L73" i="17"/>
  <c r="B84" i="39"/>
  <c r="M83" i="17" s="1"/>
  <c r="L83" i="17"/>
  <c r="B86" i="39"/>
  <c r="M85" i="17" s="1"/>
  <c r="L85" i="17"/>
  <c r="B88" i="39"/>
  <c r="M87" i="17" s="1"/>
  <c r="L87" i="17"/>
  <c r="B90" i="39"/>
  <c r="M89" i="17" s="1"/>
  <c r="L89" i="17"/>
  <c r="B100" i="39"/>
  <c r="M99" i="17" s="1"/>
  <c r="L99" i="17"/>
  <c r="B102" i="39"/>
  <c r="M101" i="17" s="1"/>
  <c r="L101" i="17"/>
  <c r="B104" i="39"/>
  <c r="M103" i="17" s="1"/>
  <c r="L103" i="17"/>
  <c r="B106" i="39"/>
  <c r="M105" i="17" s="1"/>
  <c r="L105" i="17"/>
  <c r="A128" i="39"/>
  <c r="L127" i="17" s="1"/>
  <c r="L115" i="17"/>
  <c r="L60" i="17"/>
  <c r="L52" i="17"/>
  <c r="L44" i="17"/>
  <c r="L25" i="17"/>
  <c r="L18" i="17"/>
  <c r="L11" i="17"/>
  <c r="L107" i="17"/>
  <c r="L100" i="17"/>
  <c r="L93" i="17"/>
  <c r="L75" i="17"/>
  <c r="V68" i="43"/>
  <c r="AD73" i="43"/>
  <c r="V56" i="43"/>
  <c r="B5" i="39"/>
  <c r="M4" i="17" s="1"/>
  <c r="B6" i="39"/>
  <c r="M5" i="17" s="1"/>
  <c r="B7" i="39"/>
  <c r="M6" i="17" s="1"/>
  <c r="B8" i="39"/>
  <c r="M7" i="17" s="1"/>
  <c r="B9" i="39"/>
  <c r="M8" i="17" s="1"/>
  <c r="B10" i="39"/>
  <c r="M9" i="17" s="1"/>
  <c r="B11" i="39"/>
  <c r="M10" i="17" s="1"/>
  <c r="B12" i="39"/>
  <c r="M11" i="17" s="1"/>
  <c r="B13" i="39"/>
  <c r="M12" i="17" s="1"/>
  <c r="B14" i="39"/>
  <c r="M13" i="17" s="1"/>
  <c r="B15" i="39"/>
  <c r="M14" i="17" s="1"/>
  <c r="B16" i="39"/>
  <c r="M15" i="17" s="1"/>
  <c r="B17" i="39"/>
  <c r="M16" i="17" s="1"/>
  <c r="B18" i="39"/>
  <c r="M17" i="17" s="1"/>
  <c r="B19" i="39"/>
  <c r="M18" i="17" s="1"/>
  <c r="B20" i="39"/>
  <c r="M19" i="17" s="1"/>
  <c r="B21" i="39"/>
  <c r="M20" i="17" s="1"/>
  <c r="B22" i="39"/>
  <c r="M21" i="17" s="1"/>
  <c r="B23" i="39"/>
  <c r="M22" i="17" s="1"/>
  <c r="B24" i="39"/>
  <c r="M23" i="17" s="1"/>
  <c r="B25" i="39"/>
  <c r="M24" i="17" s="1"/>
  <c r="B26" i="39"/>
  <c r="M25" i="17" s="1"/>
  <c r="B27" i="39"/>
  <c r="M26" i="17" s="1"/>
  <c r="B28" i="39"/>
  <c r="M27" i="17" s="1"/>
  <c r="B29" i="39"/>
  <c r="M28" i="17" s="1"/>
  <c r="B30" i="39"/>
  <c r="M29" i="17" s="1"/>
  <c r="B31" i="39"/>
  <c r="M30" i="17" s="1"/>
  <c r="B32" i="39"/>
  <c r="M31" i="17" s="1"/>
  <c r="B33" i="39"/>
  <c r="M32" i="17" s="1"/>
  <c r="B34" i="39"/>
  <c r="M33" i="17" s="1"/>
  <c r="B35" i="39"/>
  <c r="M34" i="17" s="1"/>
  <c r="B36" i="39"/>
  <c r="M35" i="17" s="1"/>
  <c r="B37" i="39"/>
  <c r="M36" i="17" s="1"/>
  <c r="B38" i="39"/>
  <c r="M37" i="17" s="1"/>
  <c r="B39" i="39"/>
  <c r="M38" i="17" s="1"/>
  <c r="B40" i="39"/>
  <c r="M39" i="17" s="1"/>
  <c r="B41" i="39"/>
  <c r="M40" i="17" s="1"/>
  <c r="C50" i="39"/>
  <c r="N49" i="17" s="1"/>
  <c r="B49" i="39"/>
  <c r="M48" i="17" s="1"/>
  <c r="C3" i="39"/>
  <c r="N2" i="17" s="1"/>
  <c r="B3" i="39"/>
  <c r="M2" i="17" s="1"/>
  <c r="B67" i="39"/>
  <c r="M66" i="17" s="1"/>
  <c r="C67" i="39"/>
  <c r="N66" i="17" s="1"/>
  <c r="B43" i="39"/>
  <c r="M42" i="17" s="1"/>
  <c r="B45" i="39"/>
  <c r="M44" i="17" s="1"/>
  <c r="B47" i="39"/>
  <c r="M46" i="17" s="1"/>
  <c r="B69" i="39"/>
  <c r="M68" i="17" s="1"/>
  <c r="C69" i="39"/>
  <c r="N68" i="17" s="1"/>
  <c r="B68" i="39"/>
  <c r="M67" i="17" s="1"/>
  <c r="C68" i="39"/>
  <c r="N67" i="17" s="1"/>
  <c r="B70" i="39"/>
  <c r="M69" i="17" s="1"/>
  <c r="C70" i="39"/>
  <c r="N69" i="17" s="1"/>
  <c r="B71" i="39"/>
  <c r="M70" i="17" s="1"/>
  <c r="C71" i="39"/>
  <c r="N70" i="17" s="1"/>
  <c r="B42" i="39"/>
  <c r="M41" i="17" s="1"/>
  <c r="B44" i="39"/>
  <c r="M43" i="17" s="1"/>
  <c r="B46" i="39"/>
  <c r="M45" i="17" s="1"/>
  <c r="B48" i="39"/>
  <c r="M47" i="17" s="1"/>
  <c r="A129" i="39"/>
  <c r="L128" i="17" s="1"/>
  <c r="B117" i="39"/>
  <c r="M116" i="17" s="1"/>
  <c r="C124" i="39"/>
  <c r="N123" i="17" s="1"/>
  <c r="A136" i="39"/>
  <c r="L135" i="17" s="1"/>
  <c r="A137" i="39"/>
  <c r="L136" i="17" s="1"/>
  <c r="C125" i="39"/>
  <c r="N124" i="17" s="1"/>
  <c r="C126" i="39"/>
  <c r="N125" i="17" s="1"/>
  <c r="B126" i="39"/>
  <c r="M125" i="17" s="1"/>
  <c r="A138" i="39"/>
  <c r="L137" i="17" s="1"/>
  <c r="A139" i="39"/>
  <c r="L138" i="17" s="1"/>
  <c r="C127" i="39"/>
  <c r="N126" i="17" s="1"/>
  <c r="C128" i="39"/>
  <c r="N127" i="17" s="1"/>
  <c r="B128" i="39"/>
  <c r="M127" i="17" s="1"/>
  <c r="A140" i="39"/>
  <c r="L139" i="17" s="1"/>
  <c r="B118" i="39"/>
  <c r="M117" i="17" s="1"/>
  <c r="A130" i="39"/>
  <c r="L129" i="17" s="1"/>
  <c r="A131" i="39"/>
  <c r="L130" i="17" s="1"/>
  <c r="B119" i="39"/>
  <c r="M118" i="17" s="1"/>
  <c r="B120" i="39"/>
  <c r="M119" i="17" s="1"/>
  <c r="A132" i="39"/>
  <c r="L131" i="17" s="1"/>
  <c r="A133" i="39"/>
  <c r="L132" i="17" s="1"/>
  <c r="B121" i="39"/>
  <c r="M120" i="17" s="1"/>
  <c r="B122" i="39"/>
  <c r="M121" i="17" s="1"/>
  <c r="A134" i="39"/>
  <c r="L133" i="17" s="1"/>
  <c r="A123" i="39"/>
  <c r="L122" i="17" s="1"/>
  <c r="B125" i="39"/>
  <c r="M124" i="17" s="1"/>
  <c r="B127" i="39"/>
  <c r="M126" i="17" s="1"/>
  <c r="B112" i="39"/>
  <c r="M111" i="17" s="1"/>
  <c r="B113" i="39"/>
  <c r="M112" i="17" s="1"/>
  <c r="B114" i="39"/>
  <c r="M113" i="17" s="1"/>
  <c r="B115" i="39"/>
  <c r="M114" i="17" s="1"/>
  <c r="B116" i="39"/>
  <c r="M115" i="17" s="1"/>
  <c r="C118" i="39"/>
  <c r="N117" i="17" s="1"/>
  <c r="C119" i="39"/>
  <c r="N118" i="17" s="1"/>
  <c r="C120" i="39"/>
  <c r="N119" i="17" s="1"/>
  <c r="C121" i="39"/>
  <c r="N120" i="17" s="1"/>
  <c r="C122" i="39"/>
  <c r="N121" i="17" s="1"/>
  <c r="B124" i="39"/>
  <c r="M123" i="17" s="1"/>
  <c r="D9" i="37"/>
  <c r="D13" i="37"/>
  <c r="D7" i="37"/>
  <c r="D11" i="37"/>
  <c r="D15" i="37"/>
  <c r="D8" i="37"/>
  <c r="D12" i="37"/>
  <c r="D5" i="37"/>
  <c r="D6" i="37"/>
  <c r="D10" i="37"/>
  <c r="D14" i="37"/>
  <c r="E9" i="37"/>
  <c r="F9" i="37" s="1"/>
  <c r="E10" i="37"/>
  <c r="F10" i="37" s="1"/>
  <c r="E7" i="37"/>
  <c r="F7" i="37" s="1"/>
  <c r="E8" i="37"/>
  <c r="F8" i="37" s="1"/>
  <c r="E4" i="37"/>
  <c r="F4" i="37" s="1"/>
  <c r="E12" i="37"/>
  <c r="F12" i="37" s="1"/>
  <c r="E15" i="37"/>
  <c r="F15" i="37" s="1"/>
  <c r="E11" i="37"/>
  <c r="F11" i="37" s="1"/>
  <c r="E14" i="37"/>
  <c r="F14" i="37" s="1"/>
  <c r="E6" i="37"/>
  <c r="F6" i="37" s="1"/>
  <c r="E13" i="37"/>
  <c r="F13" i="37" s="1"/>
  <c r="E5" i="37"/>
  <c r="F5" i="37" s="1"/>
  <c r="U21" i="37"/>
  <c r="I12" i="37" s="1"/>
  <c r="N21" i="37"/>
  <c r="I5" i="37" s="1"/>
  <c r="R21" i="37"/>
  <c r="I9" i="37" s="1"/>
  <c r="P21" i="37"/>
  <c r="I7" i="37" s="1"/>
  <c r="X21" i="37"/>
  <c r="I15" i="37" s="1"/>
  <c r="T21" i="37"/>
  <c r="I11" i="37" s="1"/>
  <c r="V21" i="37"/>
  <c r="I13" i="37" s="1"/>
  <c r="Q21" i="37"/>
  <c r="I8" i="37" s="1"/>
  <c r="O21" i="37"/>
  <c r="I6" i="37" s="1"/>
  <c r="S21" i="37"/>
  <c r="I10" i="37" s="1"/>
  <c r="W21" i="37"/>
  <c r="I14" i="37" s="1"/>
  <c r="M137" i="39" l="1"/>
  <c r="M170" i="39"/>
  <c r="AE73" i="43"/>
  <c r="V69" i="43"/>
  <c r="V57" i="43"/>
  <c r="A135" i="39"/>
  <c r="L134" i="17" s="1"/>
  <c r="B123" i="39"/>
  <c r="M122" i="17" s="1"/>
  <c r="C123" i="39"/>
  <c r="N122" i="17" s="1"/>
  <c r="A145" i="39"/>
  <c r="L144" i="17" s="1"/>
  <c r="C133" i="39"/>
  <c r="N132" i="17" s="1"/>
  <c r="B133" i="39"/>
  <c r="M132" i="17" s="1"/>
  <c r="A143" i="39"/>
  <c r="L142" i="17" s="1"/>
  <c r="C131" i="39"/>
  <c r="N130" i="17" s="1"/>
  <c r="B131" i="39"/>
  <c r="M130" i="17" s="1"/>
  <c r="C140" i="39"/>
  <c r="N139" i="17" s="1"/>
  <c r="B140" i="39"/>
  <c r="M139" i="17" s="1"/>
  <c r="A174" i="39"/>
  <c r="A173" i="39"/>
  <c r="C139" i="39"/>
  <c r="N138" i="17" s="1"/>
  <c r="B139" i="39"/>
  <c r="M138" i="17" s="1"/>
  <c r="A141" i="39"/>
  <c r="L140" i="17" s="1"/>
  <c r="C129" i="39"/>
  <c r="N128" i="17" s="1"/>
  <c r="B129" i="39"/>
  <c r="M128" i="17" s="1"/>
  <c r="C134" i="39"/>
  <c r="N133" i="17" s="1"/>
  <c r="B134" i="39"/>
  <c r="M133" i="17" s="1"/>
  <c r="A146" i="39"/>
  <c r="L145" i="17" s="1"/>
  <c r="C132" i="39"/>
  <c r="N131" i="17" s="1"/>
  <c r="B132" i="39"/>
  <c r="M131" i="17" s="1"/>
  <c r="A144" i="39"/>
  <c r="L143" i="17" s="1"/>
  <c r="C130" i="39"/>
  <c r="N129" i="17" s="1"/>
  <c r="B130" i="39"/>
  <c r="M129" i="17" s="1"/>
  <c r="A142" i="39"/>
  <c r="L141" i="17" s="1"/>
  <c r="C138" i="39"/>
  <c r="N137" i="17" s="1"/>
  <c r="A172" i="39"/>
  <c r="B138" i="39"/>
  <c r="M137" i="17" s="1"/>
  <c r="A171" i="39"/>
  <c r="C137" i="39"/>
  <c r="N136" i="17" s="1"/>
  <c r="B137" i="39"/>
  <c r="M136" i="17" s="1"/>
  <c r="C136" i="39"/>
  <c r="N135" i="17" s="1"/>
  <c r="B136" i="39"/>
  <c r="M135" i="17" s="1"/>
  <c r="A170" i="39"/>
  <c r="B171" i="39" l="1"/>
  <c r="C171" i="39"/>
  <c r="C174" i="39"/>
  <c r="B174" i="39"/>
  <c r="C172" i="39"/>
  <c r="B172" i="39"/>
  <c r="C170" i="39"/>
  <c r="B170" i="39"/>
  <c r="B173" i="39"/>
  <c r="C173" i="39"/>
  <c r="M138" i="39"/>
  <c r="M171" i="39"/>
  <c r="V58" i="43"/>
  <c r="V70" i="43"/>
  <c r="AF73" i="43"/>
  <c r="C146" i="39"/>
  <c r="N145" i="17" s="1"/>
  <c r="A180" i="39"/>
  <c r="B146" i="39"/>
  <c r="M145" i="17" s="1"/>
  <c r="C144" i="39"/>
  <c r="N143" i="17" s="1"/>
  <c r="B144" i="39"/>
  <c r="M143" i="17" s="1"/>
  <c r="A178" i="39"/>
  <c r="A169" i="39"/>
  <c r="C135" i="39"/>
  <c r="N134" i="17" s="1"/>
  <c r="B135" i="39"/>
  <c r="M134" i="17" s="1"/>
  <c r="C142" i="39"/>
  <c r="N141" i="17" s="1"/>
  <c r="A176" i="39"/>
  <c r="B142" i="39"/>
  <c r="M141" i="17" s="1"/>
  <c r="A175" i="39"/>
  <c r="C141" i="39"/>
  <c r="N140" i="17" s="1"/>
  <c r="B141" i="39"/>
  <c r="M140" i="17" s="1"/>
  <c r="A179" i="39"/>
  <c r="C145" i="39"/>
  <c r="N144" i="17" s="1"/>
  <c r="B145" i="39"/>
  <c r="M144" i="17" s="1"/>
  <c r="A177" i="39"/>
  <c r="C143" i="39"/>
  <c r="N142" i="17" s="1"/>
  <c r="B143" i="39"/>
  <c r="M142" i="17" s="1"/>
  <c r="B175" i="39" l="1"/>
  <c r="C175" i="39"/>
  <c r="C178" i="39"/>
  <c r="B178" i="39"/>
  <c r="C180" i="39"/>
  <c r="B180" i="39"/>
  <c r="M139" i="39"/>
  <c r="M172" i="39"/>
  <c r="B177" i="39"/>
  <c r="C177" i="39"/>
  <c r="B179" i="39"/>
  <c r="C179" i="39"/>
  <c r="C176" i="39"/>
  <c r="B176" i="39"/>
  <c r="C169" i="39"/>
  <c r="B169" i="39"/>
  <c r="V71" i="43"/>
  <c r="V59" i="43"/>
  <c r="M140" i="39" l="1"/>
  <c r="M173" i="39"/>
  <c r="V60" i="43"/>
  <c r="M141" i="39" l="1"/>
  <c r="M174" i="39"/>
  <c r="M142" i="39" l="1"/>
  <c r="M175" i="39"/>
  <c r="M143" i="39" l="1"/>
  <c r="M176" i="39"/>
  <c r="M144" i="39" l="1"/>
  <c r="M177" i="39"/>
  <c r="M145" i="39" l="1"/>
  <c r="M178" i="39"/>
  <c r="M146" i="39" l="1"/>
  <c r="M180" i="39" s="1"/>
  <c r="M179" i="39"/>
  <c r="L2" i="35"/>
  <c r="M2" i="35"/>
  <c r="N2" i="35"/>
  <c r="O2" i="35"/>
  <c r="P2" i="35"/>
  <c r="Q2" i="35"/>
  <c r="L3" i="35"/>
  <c r="M3" i="35"/>
  <c r="N3" i="35"/>
  <c r="O3" i="35"/>
  <c r="P3" i="35"/>
  <c r="Q3" i="35"/>
  <c r="L4" i="35"/>
  <c r="M4" i="35"/>
  <c r="N4" i="35"/>
  <c r="O4" i="35"/>
  <c r="P4" i="35"/>
  <c r="Q4" i="35"/>
  <c r="L5" i="35"/>
  <c r="M5" i="35"/>
  <c r="N5" i="35"/>
  <c r="O5" i="35"/>
  <c r="P5" i="35"/>
  <c r="Q5" i="35"/>
  <c r="L6" i="35"/>
  <c r="M6" i="35"/>
  <c r="N6" i="35"/>
  <c r="O6" i="35"/>
  <c r="P6" i="35"/>
  <c r="Q6" i="35"/>
  <c r="L7" i="35"/>
  <c r="M7" i="35"/>
  <c r="N7" i="35"/>
  <c r="O7" i="35"/>
  <c r="P7" i="35"/>
  <c r="Q7" i="35"/>
  <c r="L8" i="35"/>
  <c r="M8" i="35"/>
  <c r="N8" i="35"/>
  <c r="O8" i="35"/>
  <c r="P8" i="35"/>
  <c r="Q8" i="35"/>
  <c r="L9" i="35"/>
  <c r="M9" i="35"/>
  <c r="N9" i="35"/>
  <c r="O9" i="35"/>
  <c r="P9" i="35"/>
  <c r="Q9" i="35"/>
  <c r="L10" i="35"/>
  <c r="M10" i="35"/>
  <c r="N10" i="35"/>
  <c r="O10" i="35"/>
  <c r="P10" i="35"/>
  <c r="Q10" i="35"/>
  <c r="L11" i="35"/>
  <c r="M11" i="35"/>
  <c r="N11" i="35"/>
  <c r="O11" i="35"/>
  <c r="P11" i="35"/>
  <c r="Q11" i="35"/>
  <c r="L12" i="35"/>
  <c r="M12" i="35"/>
  <c r="N12" i="35"/>
  <c r="O12" i="35"/>
  <c r="P12" i="35"/>
  <c r="Q12" i="35"/>
  <c r="L13" i="35"/>
  <c r="M13" i="35"/>
  <c r="N13" i="35"/>
  <c r="O13" i="35"/>
  <c r="P13" i="35"/>
  <c r="Q13" i="35"/>
  <c r="L14" i="35"/>
  <c r="M14" i="35"/>
  <c r="N14" i="35"/>
  <c r="O14" i="35"/>
  <c r="P14" i="35"/>
  <c r="Q14" i="35"/>
  <c r="L15" i="35"/>
  <c r="M15" i="35"/>
  <c r="N15" i="35"/>
  <c r="O15" i="35"/>
  <c r="P15" i="35"/>
  <c r="Q15" i="35"/>
  <c r="L16" i="35"/>
  <c r="M16" i="35"/>
  <c r="N16" i="35"/>
  <c r="O16" i="35"/>
  <c r="P16" i="35"/>
  <c r="Q16" i="35"/>
  <c r="L17" i="35"/>
  <c r="M17" i="35"/>
  <c r="N17" i="35"/>
  <c r="O17" i="35"/>
  <c r="P17" i="35"/>
  <c r="Q17" i="35"/>
  <c r="L18" i="35"/>
  <c r="M18" i="35"/>
  <c r="N18" i="35"/>
  <c r="O18" i="35"/>
  <c r="P18" i="35"/>
  <c r="Q18" i="35"/>
  <c r="L19" i="35"/>
  <c r="M19" i="35"/>
  <c r="N19" i="35"/>
  <c r="O19" i="35"/>
  <c r="P19" i="35"/>
  <c r="Q19" i="35"/>
  <c r="L20" i="35"/>
  <c r="M20" i="35"/>
  <c r="N20" i="35"/>
  <c r="O20" i="35"/>
  <c r="P20" i="35"/>
  <c r="Q20" i="35"/>
  <c r="L21" i="35"/>
  <c r="M21" i="35"/>
  <c r="N21" i="35"/>
  <c r="O21" i="35"/>
  <c r="P21" i="35"/>
  <c r="Q21" i="35"/>
  <c r="L22" i="35"/>
  <c r="M22" i="35"/>
  <c r="N22" i="35"/>
  <c r="O22" i="35"/>
  <c r="P22" i="35"/>
  <c r="Q22" i="35"/>
  <c r="L23" i="35"/>
  <c r="M23" i="35"/>
  <c r="N23" i="35"/>
  <c r="O23" i="35"/>
  <c r="P23" i="35"/>
  <c r="Q23" i="35"/>
  <c r="L24" i="35"/>
  <c r="M24" i="35"/>
  <c r="N24" i="35"/>
  <c r="O24" i="35"/>
  <c r="P24" i="35"/>
  <c r="Q24" i="35"/>
  <c r="L25" i="35"/>
  <c r="M25" i="35"/>
  <c r="N25" i="35"/>
  <c r="O25" i="35"/>
  <c r="P25" i="35"/>
  <c r="Q25" i="35"/>
  <c r="L26" i="35"/>
  <c r="M26" i="35"/>
  <c r="N26" i="35"/>
  <c r="O26" i="35"/>
  <c r="P26" i="35"/>
  <c r="Q26" i="35"/>
  <c r="L27" i="35"/>
  <c r="M27" i="35"/>
  <c r="N27" i="35"/>
  <c r="O27" i="35"/>
  <c r="P27" i="35"/>
  <c r="Q27" i="35"/>
  <c r="L28" i="35"/>
  <c r="M28" i="35"/>
  <c r="N28" i="35"/>
  <c r="O28" i="35"/>
  <c r="P28" i="35"/>
  <c r="Q28" i="35"/>
  <c r="L29" i="35"/>
  <c r="M29" i="35"/>
  <c r="N29" i="35"/>
  <c r="O29" i="35"/>
  <c r="P29" i="35"/>
  <c r="Q29" i="35"/>
  <c r="L30" i="35"/>
  <c r="M30" i="35"/>
  <c r="N30" i="35"/>
  <c r="O30" i="35"/>
  <c r="P30" i="35"/>
  <c r="Q30" i="35"/>
  <c r="L31" i="35"/>
  <c r="M31" i="35"/>
  <c r="N31" i="35"/>
  <c r="O31" i="35"/>
  <c r="P31" i="35"/>
  <c r="Q31" i="35"/>
  <c r="L32" i="35"/>
  <c r="M32" i="35"/>
  <c r="N32" i="35"/>
  <c r="O32" i="35"/>
  <c r="P32" i="35"/>
  <c r="Q32" i="35"/>
  <c r="L33" i="35"/>
  <c r="M33" i="35"/>
  <c r="N33" i="35"/>
  <c r="O33" i="35"/>
  <c r="P33" i="35"/>
  <c r="Q33" i="35"/>
  <c r="L34" i="35"/>
  <c r="M34" i="35"/>
  <c r="N34" i="35"/>
  <c r="O34" i="35"/>
  <c r="P34" i="35"/>
  <c r="Q34" i="35"/>
  <c r="L35" i="35"/>
  <c r="M35" i="35"/>
  <c r="N35" i="35"/>
  <c r="O35" i="35"/>
  <c r="P35" i="35"/>
  <c r="Q35" i="35"/>
  <c r="L36" i="35"/>
  <c r="M36" i="35"/>
  <c r="N36" i="35"/>
  <c r="O36" i="35"/>
  <c r="P36" i="35"/>
  <c r="Q36" i="35"/>
  <c r="L37" i="35"/>
  <c r="M37" i="35"/>
  <c r="N37" i="35"/>
  <c r="O37" i="35"/>
  <c r="P37" i="35"/>
  <c r="Q37" i="35"/>
  <c r="L38" i="35"/>
  <c r="M38" i="35"/>
  <c r="N38" i="35"/>
  <c r="O38" i="35"/>
  <c r="P38" i="35"/>
  <c r="Q38" i="35"/>
  <c r="L39" i="35"/>
  <c r="M39" i="35"/>
  <c r="N39" i="35"/>
  <c r="O39" i="35"/>
  <c r="P39" i="35"/>
  <c r="Q39" i="35"/>
  <c r="L40" i="35"/>
  <c r="M40" i="35"/>
  <c r="N40" i="35"/>
  <c r="O40" i="35"/>
  <c r="P40" i="35"/>
  <c r="Q40" i="35"/>
  <c r="L41" i="35"/>
  <c r="M41" i="35"/>
  <c r="N41" i="35"/>
  <c r="O41" i="35"/>
  <c r="P41" i="35"/>
  <c r="Q41" i="35"/>
  <c r="L42" i="35"/>
  <c r="M42" i="35"/>
  <c r="N42" i="35"/>
  <c r="O42" i="35"/>
  <c r="P42" i="35"/>
  <c r="Q42" i="35"/>
  <c r="L43" i="35"/>
  <c r="M43" i="35"/>
  <c r="N43" i="35"/>
  <c r="O43" i="35"/>
  <c r="P43" i="35"/>
  <c r="Q43" i="35"/>
  <c r="L44" i="35"/>
  <c r="M44" i="35"/>
  <c r="N44" i="35"/>
  <c r="O44" i="35"/>
  <c r="P44" i="35"/>
  <c r="Q44" i="35"/>
  <c r="L45" i="35"/>
  <c r="M45" i="35"/>
  <c r="N45" i="35"/>
  <c r="O45" i="35"/>
  <c r="P45" i="35"/>
  <c r="Q45" i="35"/>
  <c r="L46" i="35"/>
  <c r="M46" i="35"/>
  <c r="N46" i="35"/>
  <c r="O46" i="35"/>
  <c r="P46" i="35"/>
  <c r="Q46" i="35"/>
  <c r="L47" i="35"/>
  <c r="M47" i="35"/>
  <c r="N47" i="35"/>
  <c r="O47" i="35"/>
  <c r="P47" i="35"/>
  <c r="Q47" i="35"/>
  <c r="L48" i="35"/>
  <c r="M48" i="35"/>
  <c r="N48" i="35"/>
  <c r="O48" i="35"/>
  <c r="P48" i="35"/>
  <c r="Q48" i="35"/>
  <c r="L49" i="35"/>
  <c r="M49" i="35"/>
  <c r="N49" i="35"/>
  <c r="O49" i="35"/>
  <c r="P49" i="35"/>
  <c r="Q49" i="35"/>
  <c r="L50" i="35"/>
  <c r="M50" i="35"/>
  <c r="N50" i="35"/>
  <c r="O50" i="35"/>
  <c r="P50" i="35"/>
  <c r="Q50" i="35"/>
  <c r="L51" i="35"/>
  <c r="M51" i="35"/>
  <c r="N51" i="35"/>
  <c r="O51" i="35"/>
  <c r="P51" i="35"/>
  <c r="Q51" i="35"/>
  <c r="L52" i="35"/>
  <c r="M52" i="35"/>
  <c r="N52" i="35"/>
  <c r="O52" i="35"/>
  <c r="P52" i="35"/>
  <c r="Q52" i="35"/>
  <c r="L53" i="35"/>
  <c r="M53" i="35"/>
  <c r="N53" i="35"/>
  <c r="O53" i="35"/>
  <c r="P53" i="35"/>
  <c r="Q53" i="35"/>
  <c r="L54" i="35"/>
  <c r="M54" i="35"/>
  <c r="N54" i="35"/>
  <c r="O54" i="35"/>
  <c r="P54" i="35"/>
  <c r="Q54" i="35"/>
  <c r="L55" i="35"/>
  <c r="M55" i="35"/>
  <c r="N55" i="35"/>
  <c r="O55" i="35"/>
  <c r="P55" i="35"/>
  <c r="Q55" i="35"/>
  <c r="L56" i="35"/>
  <c r="M56" i="35"/>
  <c r="N56" i="35"/>
  <c r="O56" i="35"/>
  <c r="P56" i="35"/>
  <c r="Q56" i="35"/>
  <c r="L57" i="35"/>
  <c r="M57" i="35"/>
  <c r="N57" i="35"/>
  <c r="O57" i="35"/>
  <c r="P57" i="35"/>
  <c r="Q57" i="35"/>
  <c r="L58" i="35"/>
  <c r="M58" i="35"/>
  <c r="N58" i="35"/>
  <c r="O58" i="35"/>
  <c r="P58" i="35"/>
  <c r="Q58" i="35"/>
  <c r="L59" i="35"/>
  <c r="M59" i="35"/>
  <c r="N59" i="35"/>
  <c r="O59" i="35"/>
  <c r="P59" i="35"/>
  <c r="Q59" i="35"/>
  <c r="L60" i="35"/>
  <c r="M60" i="35"/>
  <c r="N60" i="35"/>
  <c r="O60" i="35"/>
  <c r="P60" i="35"/>
  <c r="Q60" i="35"/>
  <c r="L61" i="35"/>
  <c r="M61" i="35"/>
  <c r="N61" i="35"/>
  <c r="O61" i="35"/>
  <c r="P61" i="35"/>
  <c r="Q61" i="35"/>
  <c r="L62" i="35"/>
  <c r="M62" i="35"/>
  <c r="N62" i="35"/>
  <c r="O62" i="35"/>
  <c r="P62" i="35"/>
  <c r="Q62" i="35"/>
  <c r="L63" i="35"/>
  <c r="M63" i="35"/>
  <c r="N63" i="35"/>
  <c r="O63" i="35"/>
  <c r="P63" i="35"/>
  <c r="Q63" i="35"/>
  <c r="L64" i="35"/>
  <c r="M64" i="35"/>
  <c r="N64" i="35"/>
  <c r="O64" i="35"/>
  <c r="P64" i="35"/>
  <c r="Q64" i="35"/>
  <c r="L65" i="35"/>
  <c r="M65" i="35"/>
  <c r="N65" i="35"/>
  <c r="O65" i="35"/>
  <c r="P65" i="35"/>
  <c r="Q65" i="35"/>
  <c r="L66" i="35"/>
  <c r="M66" i="35"/>
  <c r="N66" i="35"/>
  <c r="O66" i="35"/>
  <c r="P66" i="35"/>
  <c r="Q66" i="35"/>
  <c r="L67" i="35"/>
  <c r="M67" i="35"/>
  <c r="N67" i="35"/>
  <c r="O67" i="35"/>
  <c r="P67" i="35"/>
  <c r="Q67" i="35"/>
  <c r="L68" i="35"/>
  <c r="M68" i="35"/>
  <c r="N68" i="35"/>
  <c r="O68" i="35"/>
  <c r="P68" i="35"/>
  <c r="Q68" i="35"/>
  <c r="L69" i="35"/>
  <c r="M69" i="35"/>
  <c r="N69" i="35"/>
  <c r="O69" i="35"/>
  <c r="P69" i="35"/>
  <c r="Q69" i="35"/>
  <c r="L70" i="35"/>
  <c r="M70" i="35"/>
  <c r="N70" i="35"/>
  <c r="O70" i="35"/>
  <c r="P70" i="35"/>
  <c r="Q70" i="35"/>
  <c r="L71" i="35"/>
  <c r="M71" i="35"/>
  <c r="N71" i="35"/>
  <c r="O71" i="35"/>
  <c r="P71" i="35"/>
  <c r="Q71" i="35"/>
  <c r="L72" i="35"/>
  <c r="M72" i="35"/>
  <c r="N72" i="35"/>
  <c r="O72" i="35"/>
  <c r="P72" i="35"/>
  <c r="Q72" i="35"/>
  <c r="L73" i="35"/>
  <c r="M73" i="35"/>
  <c r="N73" i="35"/>
  <c r="O73" i="35"/>
  <c r="P73" i="35"/>
  <c r="Q73" i="35"/>
  <c r="L74" i="35"/>
  <c r="M74" i="35"/>
  <c r="N74" i="35"/>
  <c r="O74" i="35"/>
  <c r="P74" i="35"/>
  <c r="Q74" i="35"/>
  <c r="L75" i="35"/>
  <c r="M75" i="35"/>
  <c r="N75" i="35"/>
  <c r="O75" i="35"/>
  <c r="P75" i="35"/>
  <c r="Q75" i="35"/>
  <c r="L76" i="35"/>
  <c r="M76" i="35"/>
  <c r="N76" i="35"/>
  <c r="O76" i="35"/>
  <c r="P76" i="35"/>
  <c r="Q76" i="35"/>
  <c r="L77" i="35"/>
  <c r="M77" i="35"/>
  <c r="N77" i="35"/>
  <c r="O77" i="35"/>
  <c r="P77" i="35"/>
  <c r="Q77" i="35"/>
  <c r="L78" i="35"/>
  <c r="M78" i="35"/>
  <c r="N78" i="35"/>
  <c r="O78" i="35"/>
  <c r="P78" i="35"/>
  <c r="Q78" i="35"/>
  <c r="L79" i="35"/>
  <c r="M79" i="35"/>
  <c r="N79" i="35"/>
  <c r="O79" i="35"/>
  <c r="P79" i="35"/>
  <c r="Q79" i="35"/>
  <c r="L80" i="35"/>
  <c r="M80" i="35"/>
  <c r="N80" i="35"/>
  <c r="O80" i="35"/>
  <c r="P80" i="35"/>
  <c r="Q80" i="35"/>
  <c r="L81" i="35"/>
  <c r="M81" i="35"/>
  <c r="N81" i="35"/>
  <c r="O81" i="35"/>
  <c r="P81" i="35"/>
  <c r="Q81" i="35"/>
  <c r="L82" i="35"/>
  <c r="M82" i="35"/>
  <c r="N82" i="35"/>
  <c r="O82" i="35"/>
  <c r="P82" i="35"/>
  <c r="Q82" i="35"/>
  <c r="L83" i="35"/>
  <c r="M83" i="35"/>
  <c r="N83" i="35"/>
  <c r="O83" i="35"/>
  <c r="P83" i="35"/>
  <c r="Q83" i="35"/>
  <c r="L84" i="35"/>
  <c r="M84" i="35"/>
  <c r="N84" i="35"/>
  <c r="O84" i="35"/>
  <c r="P84" i="35"/>
  <c r="Q84" i="35"/>
  <c r="L85" i="35"/>
  <c r="M85" i="35"/>
  <c r="N85" i="35"/>
  <c r="O85" i="35"/>
  <c r="P85" i="35"/>
  <c r="Q85" i="35"/>
  <c r="L86" i="35"/>
  <c r="M86" i="35"/>
  <c r="N86" i="35"/>
  <c r="O86" i="35"/>
  <c r="P86" i="35"/>
  <c r="Q86" i="35"/>
  <c r="L87" i="35"/>
  <c r="M87" i="35"/>
  <c r="N87" i="35"/>
  <c r="O87" i="35"/>
  <c r="P87" i="35"/>
  <c r="Q87" i="35"/>
  <c r="L88" i="35"/>
  <c r="M88" i="35"/>
  <c r="N88" i="35"/>
  <c r="O88" i="35"/>
  <c r="P88" i="35"/>
  <c r="Q88" i="35"/>
  <c r="L89" i="35"/>
  <c r="M89" i="35"/>
  <c r="N89" i="35"/>
  <c r="O89" i="35"/>
  <c r="P89" i="35"/>
  <c r="Q89" i="35"/>
  <c r="L90" i="35"/>
  <c r="M90" i="35"/>
  <c r="N90" i="35"/>
  <c r="O90" i="35"/>
  <c r="P90" i="35"/>
  <c r="Q90" i="35"/>
  <c r="L91" i="35"/>
  <c r="M91" i="35"/>
  <c r="N91" i="35"/>
  <c r="O91" i="35"/>
  <c r="P91" i="35"/>
  <c r="Q91" i="35"/>
  <c r="L92" i="35"/>
  <c r="M92" i="35"/>
  <c r="N92" i="35"/>
  <c r="O92" i="35"/>
  <c r="P92" i="35"/>
  <c r="Q92" i="35"/>
  <c r="L93" i="35"/>
  <c r="M93" i="35"/>
  <c r="N93" i="35"/>
  <c r="O93" i="35"/>
  <c r="P93" i="35"/>
  <c r="Q93" i="35"/>
  <c r="L94" i="35"/>
  <c r="M94" i="35"/>
  <c r="N94" i="35"/>
  <c r="O94" i="35"/>
  <c r="P94" i="35"/>
  <c r="Q94" i="35"/>
  <c r="L95" i="35"/>
  <c r="M95" i="35"/>
  <c r="N95" i="35"/>
  <c r="O95" i="35"/>
  <c r="P95" i="35"/>
  <c r="Q95" i="35"/>
  <c r="L96" i="35"/>
  <c r="M96" i="35"/>
  <c r="N96" i="35"/>
  <c r="O96" i="35"/>
  <c r="P96" i="35"/>
  <c r="Q96" i="35"/>
  <c r="L97" i="35"/>
  <c r="M97" i="35"/>
  <c r="N97" i="35"/>
  <c r="O97" i="35"/>
  <c r="P97" i="35"/>
  <c r="Q97" i="35"/>
  <c r="L98" i="35"/>
  <c r="M98" i="35"/>
  <c r="N98" i="35"/>
  <c r="O98" i="35"/>
  <c r="P98" i="35"/>
  <c r="Q98" i="35"/>
  <c r="L99" i="35"/>
  <c r="M99" i="35"/>
  <c r="N99" i="35"/>
  <c r="O99" i="35"/>
  <c r="P99" i="35"/>
  <c r="Q99" i="35"/>
  <c r="L100" i="35"/>
  <c r="M100" i="35"/>
  <c r="N100" i="35"/>
  <c r="O100" i="35"/>
  <c r="P100" i="35"/>
  <c r="Q100" i="35"/>
  <c r="L101" i="35"/>
  <c r="M101" i="35"/>
  <c r="N101" i="35"/>
  <c r="O101" i="35"/>
  <c r="P101" i="35"/>
  <c r="Q101" i="35"/>
  <c r="L102" i="35"/>
  <c r="M102" i="35"/>
  <c r="N102" i="35"/>
  <c r="O102" i="35"/>
  <c r="P102" i="35"/>
  <c r="Q102" i="35"/>
  <c r="L103" i="35"/>
  <c r="M103" i="35"/>
  <c r="N103" i="35"/>
  <c r="O103" i="35"/>
  <c r="P103" i="35"/>
  <c r="Q103" i="35"/>
  <c r="L104" i="35"/>
  <c r="M104" i="35"/>
  <c r="N104" i="35"/>
  <c r="O104" i="35"/>
  <c r="P104" i="35"/>
  <c r="Q104" i="35"/>
  <c r="L105" i="35"/>
  <c r="M105" i="35"/>
  <c r="N105" i="35"/>
  <c r="O105" i="35"/>
  <c r="P105" i="35"/>
  <c r="Q105" i="35"/>
  <c r="L106" i="35"/>
  <c r="M106" i="35"/>
  <c r="N106" i="35"/>
  <c r="O106" i="35"/>
  <c r="P106" i="35"/>
  <c r="Q106" i="35"/>
  <c r="L107" i="35"/>
  <c r="M107" i="35"/>
  <c r="N107" i="35"/>
  <c r="O107" i="35"/>
  <c r="P107" i="35"/>
  <c r="Q107" i="35"/>
  <c r="L108" i="35"/>
  <c r="M108" i="35"/>
  <c r="N108" i="35"/>
  <c r="O108" i="35"/>
  <c r="P108" i="35"/>
  <c r="Q108" i="35"/>
  <c r="L109" i="35"/>
  <c r="M109" i="35"/>
  <c r="N109" i="35"/>
  <c r="O109" i="35"/>
  <c r="P109" i="35"/>
  <c r="Q109" i="35"/>
  <c r="L110" i="35"/>
  <c r="M110" i="35"/>
  <c r="N110" i="35"/>
  <c r="O110" i="35"/>
  <c r="P110" i="35"/>
  <c r="Q110" i="35"/>
  <c r="L111" i="35"/>
  <c r="M111" i="35"/>
  <c r="N111" i="35"/>
  <c r="O111" i="35"/>
  <c r="P111" i="35"/>
  <c r="Q111" i="35"/>
  <c r="L112" i="35"/>
  <c r="M112" i="35"/>
  <c r="N112" i="35"/>
  <c r="O112" i="35"/>
  <c r="P112" i="35"/>
  <c r="Q112" i="35"/>
  <c r="L113" i="35"/>
  <c r="M113" i="35"/>
  <c r="N113" i="35"/>
  <c r="O113" i="35"/>
  <c r="P113" i="35"/>
  <c r="Q113" i="35"/>
  <c r="L114" i="35"/>
  <c r="M114" i="35"/>
  <c r="N114" i="35"/>
  <c r="O114" i="35"/>
  <c r="P114" i="35"/>
  <c r="Q114" i="35"/>
  <c r="L115" i="35"/>
  <c r="M115" i="35"/>
  <c r="N115" i="35"/>
  <c r="O115" i="35"/>
  <c r="P115" i="35"/>
  <c r="Q115" i="35"/>
  <c r="L116" i="35"/>
  <c r="M116" i="35"/>
  <c r="N116" i="35"/>
  <c r="O116" i="35"/>
  <c r="P116" i="35"/>
  <c r="Q116" i="35"/>
  <c r="L117" i="35"/>
  <c r="M117" i="35"/>
  <c r="N117" i="35"/>
  <c r="O117" i="35"/>
  <c r="P117" i="35"/>
  <c r="Q117" i="35"/>
  <c r="L118" i="35"/>
  <c r="M118" i="35"/>
  <c r="N118" i="35"/>
  <c r="O118" i="35"/>
  <c r="P118" i="35"/>
  <c r="Q118" i="35"/>
  <c r="L119" i="35"/>
  <c r="M119" i="35"/>
  <c r="N119" i="35"/>
  <c r="O119" i="35"/>
  <c r="P119" i="35"/>
  <c r="Q119" i="35"/>
  <c r="L120" i="35"/>
  <c r="M120" i="35"/>
  <c r="N120" i="35"/>
  <c r="O120" i="35"/>
  <c r="P120" i="35"/>
  <c r="Q120" i="35"/>
  <c r="L121" i="35"/>
  <c r="M121" i="35"/>
  <c r="N121" i="35"/>
  <c r="O121" i="35"/>
  <c r="P121" i="35"/>
  <c r="Q121" i="35"/>
  <c r="Q1" i="35"/>
  <c r="O1" i="35"/>
  <c r="P1" i="35"/>
  <c r="M1" i="35"/>
  <c r="N1" i="35"/>
  <c r="L1" i="35"/>
  <c r="A1" i="36"/>
  <c r="AX3" i="35"/>
  <c r="AX4" i="35" s="1"/>
  <c r="AX5" i="35" s="1"/>
  <c r="AX6" i="35" s="1"/>
  <c r="AX7" i="35" s="1"/>
  <c r="AX8" i="35" s="1"/>
  <c r="AX9" i="35" s="1"/>
  <c r="AX10" i="35" s="1"/>
  <c r="AX11" i="35" s="1"/>
  <c r="AX12" i="35" s="1"/>
  <c r="AX13" i="35" s="1"/>
  <c r="AX14" i="35" s="1"/>
  <c r="AX15" i="35" s="1"/>
  <c r="AX16" i="35" s="1"/>
  <c r="AX17" i="35" s="1"/>
  <c r="AX18" i="35" s="1"/>
  <c r="AX19" i="35" s="1"/>
  <c r="AX20" i="35" s="1"/>
  <c r="AX21" i="35" s="1"/>
  <c r="AX22" i="35" s="1"/>
  <c r="AX23" i="35" s="1"/>
  <c r="AX24" i="35" s="1"/>
  <c r="AX25" i="35" s="1"/>
  <c r="AX26" i="35" s="1"/>
  <c r="AX27" i="35" s="1"/>
  <c r="AX28" i="35" s="1"/>
  <c r="AX29" i="35" s="1"/>
  <c r="AX30" i="35" s="1"/>
  <c r="AX31" i="35" s="1"/>
  <c r="AX32" i="35" s="1"/>
  <c r="AX33" i="35" s="1"/>
  <c r="AX34" i="35" s="1"/>
  <c r="AX35" i="35" s="1"/>
  <c r="AX36" i="35" s="1"/>
  <c r="AX37" i="35" s="1"/>
  <c r="AX38" i="35" s="1"/>
  <c r="AX39" i="35" s="1"/>
  <c r="AX40" i="35" s="1"/>
  <c r="AX41" i="35" s="1"/>
  <c r="AX42" i="35" s="1"/>
  <c r="AX43" i="35" s="1"/>
  <c r="AX44" i="35" s="1"/>
  <c r="AX45" i="35" s="1"/>
  <c r="AX46" i="35" s="1"/>
  <c r="AX47" i="35" s="1"/>
  <c r="AX48" i="35" s="1"/>
  <c r="AX49" i="35" s="1"/>
  <c r="AX50" i="35" s="1"/>
  <c r="AX51" i="35" s="1"/>
  <c r="AX52" i="35" s="1"/>
  <c r="AX53" i="35" s="1"/>
  <c r="AX54" i="35" s="1"/>
  <c r="AX55" i="35" s="1"/>
  <c r="AX56" i="35" s="1"/>
  <c r="AX57" i="35" s="1"/>
  <c r="AX58" i="35" s="1"/>
  <c r="AX59" i="35" s="1"/>
  <c r="AX60" i="35" s="1"/>
  <c r="AX61" i="35" s="1"/>
  <c r="AX62" i="35" s="1"/>
  <c r="AX63" i="35" s="1"/>
  <c r="AX64" i="35" s="1"/>
  <c r="AX65" i="35" s="1"/>
  <c r="AX66" i="35" s="1"/>
  <c r="AX67" i="35" s="1"/>
  <c r="AX68" i="35" s="1"/>
  <c r="AX69" i="35" s="1"/>
  <c r="AX70" i="35" s="1"/>
  <c r="AX71" i="35" s="1"/>
  <c r="AX72" i="35" s="1"/>
  <c r="AX73" i="35" s="1"/>
  <c r="AX74" i="35" s="1"/>
  <c r="AX75" i="35" s="1"/>
  <c r="AX76" i="35" s="1"/>
  <c r="AX77" i="35" s="1"/>
  <c r="AX78" i="35" s="1"/>
  <c r="AX79" i="35" s="1"/>
  <c r="AX80" i="35" s="1"/>
  <c r="AX81" i="35" s="1"/>
  <c r="AX82" i="35" s="1"/>
  <c r="AX83" i="35" s="1"/>
  <c r="AX84" i="35" s="1"/>
  <c r="AX85" i="35" s="1"/>
  <c r="AX86" i="35" s="1"/>
  <c r="AX87" i="35" s="1"/>
  <c r="AX88" i="35" s="1"/>
  <c r="AX89" i="35" s="1"/>
  <c r="AX90" i="35" s="1"/>
  <c r="AX91" i="35" s="1"/>
  <c r="AX92" i="35" s="1"/>
  <c r="AX93" i="35" s="1"/>
  <c r="AX94" i="35" s="1"/>
  <c r="AX95" i="35" s="1"/>
  <c r="AX96" i="35" s="1"/>
  <c r="AX97" i="35" s="1"/>
  <c r="AX98" i="35" s="1"/>
  <c r="AX99" i="35" s="1"/>
  <c r="AX100" i="35" s="1"/>
  <c r="AX101" i="35" s="1"/>
  <c r="AX102" i="35" s="1"/>
  <c r="AX103" i="35" s="1"/>
  <c r="AX104" i="35" s="1"/>
  <c r="AX105" i="35" s="1"/>
  <c r="AX106" i="35" s="1"/>
  <c r="AX107" i="35" s="1"/>
  <c r="AX108" i="35" s="1"/>
  <c r="AX109" i="35" s="1"/>
  <c r="AX110" i="35" s="1"/>
  <c r="AX111" i="35" s="1"/>
  <c r="AX112" i="35" s="1"/>
  <c r="AX113" i="35" s="1"/>
  <c r="AX114" i="35" s="1"/>
  <c r="AX115" i="35" s="1"/>
  <c r="AX116" i="35" s="1"/>
  <c r="AX117" i="35" s="1"/>
  <c r="AX118" i="35" s="1"/>
  <c r="AX119" i="35" s="1"/>
  <c r="AX120" i="35" s="1"/>
  <c r="AX121" i="35" s="1"/>
  <c r="AG16" i="35"/>
  <c r="AG28" i="35" s="1"/>
  <c r="AG40" i="35" s="1"/>
  <c r="AG17" i="35"/>
  <c r="AG29" i="35" s="1"/>
  <c r="AG41" i="35" s="1"/>
  <c r="AG18" i="35"/>
  <c r="AG30" i="35" s="1"/>
  <c r="AG42" i="35" s="1"/>
  <c r="AG19" i="35"/>
  <c r="AG20" i="35"/>
  <c r="AG32" i="35" s="1"/>
  <c r="AG44" i="35" s="1"/>
  <c r="AG21" i="35"/>
  <c r="AG33" i="35" s="1"/>
  <c r="AG45" i="35" s="1"/>
  <c r="AG22" i="35"/>
  <c r="AG34" i="35" s="1"/>
  <c r="AG46" i="35" s="1"/>
  <c r="AG23" i="35"/>
  <c r="AG24" i="35"/>
  <c r="AG36" i="35" s="1"/>
  <c r="AG48" i="35" s="1"/>
  <c r="AG25" i="35"/>
  <c r="AG37" i="35" s="1"/>
  <c r="AG49" i="35" s="1"/>
  <c r="AG31" i="35"/>
  <c r="AG43" i="35" s="1"/>
  <c r="AG35" i="35"/>
  <c r="AG47" i="35" s="1"/>
  <c r="AG14" i="35"/>
  <c r="AG26" i="35" s="1"/>
  <c r="AG38" i="35" s="1"/>
  <c r="AU15" i="35"/>
  <c r="AU27" i="35" s="1"/>
  <c r="AU39" i="35" s="1"/>
  <c r="AU51" i="35" s="1"/>
  <c r="AU63" i="35" s="1"/>
  <c r="AU75" i="35" s="1"/>
  <c r="AV15" i="35"/>
  <c r="AV27" i="35" s="1"/>
  <c r="AV39" i="35" s="1"/>
  <c r="AV51" i="35" s="1"/>
  <c r="AV63" i="35" s="1"/>
  <c r="AV75" i="35" s="1"/>
  <c r="AV87" i="35" s="1"/>
  <c r="AV99" i="35" s="1"/>
  <c r="AV111" i="35" s="1"/>
  <c r="AU16" i="35"/>
  <c r="AU28" i="35" s="1"/>
  <c r="AV16" i="35"/>
  <c r="AU17" i="35"/>
  <c r="AU29" i="35" s="1"/>
  <c r="AU41" i="35" s="1"/>
  <c r="AU53" i="35" s="1"/>
  <c r="AV17" i="35"/>
  <c r="AV29" i="35" s="1"/>
  <c r="AV41" i="35" s="1"/>
  <c r="AU18" i="35"/>
  <c r="AU30" i="35" s="1"/>
  <c r="AU42" i="35" s="1"/>
  <c r="AU54" i="35" s="1"/>
  <c r="AU66" i="35" s="1"/>
  <c r="AU78" i="35" s="1"/>
  <c r="AU90" i="35" s="1"/>
  <c r="AU102" i="35" s="1"/>
  <c r="AU114" i="35" s="1"/>
  <c r="AV18" i="35"/>
  <c r="AU19" i="35"/>
  <c r="AU31" i="35" s="1"/>
  <c r="AU43" i="35" s="1"/>
  <c r="AU55" i="35" s="1"/>
  <c r="AU67" i="35" s="1"/>
  <c r="AV19" i="35"/>
  <c r="AV31" i="35" s="1"/>
  <c r="AV43" i="35" s="1"/>
  <c r="AV55" i="35" s="1"/>
  <c r="AV67" i="35" s="1"/>
  <c r="AV79" i="35" s="1"/>
  <c r="AV91" i="35" s="1"/>
  <c r="AV103" i="35" s="1"/>
  <c r="AV115" i="35" s="1"/>
  <c r="AU20" i="35"/>
  <c r="AU32" i="35" s="1"/>
  <c r="AU44" i="35" s="1"/>
  <c r="AU56" i="35" s="1"/>
  <c r="AU68" i="35" s="1"/>
  <c r="AU80" i="35" s="1"/>
  <c r="AU92" i="35" s="1"/>
  <c r="AU104" i="35" s="1"/>
  <c r="AU116" i="35" s="1"/>
  <c r="AV20" i="35"/>
  <c r="AU21" i="35"/>
  <c r="AU33" i="35" s="1"/>
  <c r="AU45" i="35" s="1"/>
  <c r="AU57" i="35" s="1"/>
  <c r="AV21" i="35"/>
  <c r="AU22" i="35"/>
  <c r="AU34" i="35" s="1"/>
  <c r="AU46" i="35" s="1"/>
  <c r="AU58" i="35" s="1"/>
  <c r="AU70" i="35" s="1"/>
  <c r="AU82" i="35" s="1"/>
  <c r="AU94" i="35" s="1"/>
  <c r="AU106" i="35" s="1"/>
  <c r="AU118" i="35" s="1"/>
  <c r="AV22" i="35"/>
  <c r="AU23" i="35"/>
  <c r="AU35" i="35" s="1"/>
  <c r="AU47" i="35" s="1"/>
  <c r="AU59" i="35" s="1"/>
  <c r="AU71" i="35" s="1"/>
  <c r="AU83" i="35" s="1"/>
  <c r="AV23" i="35"/>
  <c r="AV35" i="35" s="1"/>
  <c r="AV47" i="35" s="1"/>
  <c r="AV59" i="35" s="1"/>
  <c r="AV71" i="35" s="1"/>
  <c r="AV83" i="35" s="1"/>
  <c r="AV95" i="35" s="1"/>
  <c r="AV107" i="35" s="1"/>
  <c r="AV119" i="35" s="1"/>
  <c r="AU24" i="35"/>
  <c r="AU36" i="35" s="1"/>
  <c r="AU48" i="35" s="1"/>
  <c r="AU60" i="35" s="1"/>
  <c r="AU72" i="35" s="1"/>
  <c r="AU84" i="35" s="1"/>
  <c r="AU96" i="35" s="1"/>
  <c r="AU108" i="35" s="1"/>
  <c r="AU120" i="35" s="1"/>
  <c r="AV24" i="35"/>
  <c r="AU25" i="35"/>
  <c r="AU37" i="35" s="1"/>
  <c r="AU49" i="35" s="1"/>
  <c r="AU61" i="35" s="1"/>
  <c r="AV25" i="35"/>
  <c r="AV37" i="35" s="1"/>
  <c r="AV49" i="35" s="1"/>
  <c r="AV61" i="35" s="1"/>
  <c r="AV73" i="35" s="1"/>
  <c r="AV85" i="35" s="1"/>
  <c r="AV97" i="35" s="1"/>
  <c r="AV109" i="35" s="1"/>
  <c r="AV121" i="35" s="1"/>
  <c r="AU40" i="35"/>
  <c r="AU52" i="35" s="1"/>
  <c r="AU64" i="35" s="1"/>
  <c r="AU76" i="35" s="1"/>
  <c r="AU88" i="35" s="1"/>
  <c r="AU100" i="35" s="1"/>
  <c r="AU112" i="35" s="1"/>
  <c r="AV14" i="35"/>
  <c r="AV26" i="35" s="1"/>
  <c r="AU14" i="35"/>
  <c r="AU26" i="35" s="1"/>
  <c r="AU38" i="35" s="1"/>
  <c r="AU50" i="35" s="1"/>
  <c r="AU62" i="35" s="1"/>
  <c r="AU74" i="35" s="1"/>
  <c r="AU86" i="35" s="1"/>
  <c r="AU98" i="35" s="1"/>
  <c r="AU110" i="35" s="1"/>
  <c r="AW3" i="35"/>
  <c r="AW4" i="35"/>
  <c r="AW5" i="35"/>
  <c r="AW6" i="35"/>
  <c r="AW7" i="35"/>
  <c r="AW8" i="35"/>
  <c r="AW9" i="35"/>
  <c r="AW10" i="35"/>
  <c r="AW11" i="35"/>
  <c r="AW12" i="35"/>
  <c r="AW13" i="35"/>
  <c r="AW2" i="35"/>
  <c r="AI15" i="35"/>
  <c r="AJ15" i="35"/>
  <c r="AK15" i="35"/>
  <c r="AL15" i="35"/>
  <c r="AM15" i="35"/>
  <c r="AN15" i="35"/>
  <c r="AO15" i="35"/>
  <c r="AP15" i="35"/>
  <c r="AQ15" i="35"/>
  <c r="AR15" i="35"/>
  <c r="AS15" i="35"/>
  <c r="AT15" i="35"/>
  <c r="AI16" i="35"/>
  <c r="AJ16" i="35"/>
  <c r="AK16" i="35"/>
  <c r="AL16" i="35"/>
  <c r="AM16" i="35"/>
  <c r="AN16" i="35"/>
  <c r="AO16" i="35"/>
  <c r="AP16" i="35"/>
  <c r="AQ16" i="35"/>
  <c r="AR16" i="35"/>
  <c r="AS16" i="35"/>
  <c r="AT16" i="35"/>
  <c r="AI17" i="35"/>
  <c r="AJ17" i="35"/>
  <c r="AK17" i="35"/>
  <c r="AL17" i="35"/>
  <c r="AM17" i="35"/>
  <c r="AN17" i="35"/>
  <c r="AO17" i="35"/>
  <c r="AP17" i="35"/>
  <c r="AQ17" i="35"/>
  <c r="AR17" i="35"/>
  <c r="AS17" i="35"/>
  <c r="AT17" i="35"/>
  <c r="AI18" i="35"/>
  <c r="AJ18" i="35"/>
  <c r="AK18" i="35"/>
  <c r="AL18" i="35"/>
  <c r="AM18" i="35"/>
  <c r="AN18" i="35"/>
  <c r="AO18" i="35"/>
  <c r="AP18" i="35"/>
  <c r="AQ18" i="35"/>
  <c r="AR18" i="35"/>
  <c r="AS18" i="35"/>
  <c r="AT18" i="35"/>
  <c r="AI19" i="35"/>
  <c r="AJ19" i="35"/>
  <c r="AK19" i="35"/>
  <c r="AL19" i="35"/>
  <c r="AM19" i="35"/>
  <c r="AN19" i="35"/>
  <c r="AO19" i="35"/>
  <c r="AP19" i="35"/>
  <c r="AQ19" i="35"/>
  <c r="AR19" i="35"/>
  <c r="AS19" i="35"/>
  <c r="AT19" i="35"/>
  <c r="AI20" i="35"/>
  <c r="AJ20" i="35"/>
  <c r="AK20" i="35"/>
  <c r="AL20" i="35"/>
  <c r="AM20" i="35"/>
  <c r="AN20" i="35"/>
  <c r="AO20" i="35"/>
  <c r="AP20" i="35"/>
  <c r="AQ20" i="35"/>
  <c r="AR20" i="35"/>
  <c r="AS20" i="35"/>
  <c r="AT20" i="35"/>
  <c r="AI21" i="35"/>
  <c r="AJ21" i="35"/>
  <c r="AK21" i="35"/>
  <c r="AL21" i="35"/>
  <c r="AM21" i="35"/>
  <c r="AN21" i="35"/>
  <c r="AO21" i="35"/>
  <c r="AP21" i="35"/>
  <c r="AQ21" i="35"/>
  <c r="AR21" i="35"/>
  <c r="AS21" i="35"/>
  <c r="AT21" i="35"/>
  <c r="AI22" i="35"/>
  <c r="AJ22" i="35"/>
  <c r="AK22" i="35"/>
  <c r="AL22" i="35"/>
  <c r="AM22" i="35"/>
  <c r="AN22" i="35"/>
  <c r="AO22" i="35"/>
  <c r="AP22" i="35"/>
  <c r="AQ22" i="35"/>
  <c r="AR22" i="35"/>
  <c r="AS22" i="35"/>
  <c r="AT22" i="35"/>
  <c r="AI23" i="35"/>
  <c r="AJ23" i="35"/>
  <c r="AK23" i="35"/>
  <c r="AL23" i="35"/>
  <c r="AM23" i="35"/>
  <c r="AN23" i="35"/>
  <c r="AO23" i="35"/>
  <c r="AP23" i="35"/>
  <c r="AQ23" i="35"/>
  <c r="AR23" i="35"/>
  <c r="AS23" i="35"/>
  <c r="AT23" i="35"/>
  <c r="AI24" i="35"/>
  <c r="AJ24" i="35"/>
  <c r="AK24" i="35"/>
  <c r="AL24" i="35"/>
  <c r="AM24" i="35"/>
  <c r="AN24" i="35"/>
  <c r="AO24" i="35"/>
  <c r="AP24" i="35"/>
  <c r="AQ24" i="35"/>
  <c r="AR24" i="35"/>
  <c r="AS24" i="35"/>
  <c r="AT24" i="35"/>
  <c r="AI25" i="35"/>
  <c r="AJ25" i="35"/>
  <c r="AK25" i="35"/>
  <c r="AL25" i="35"/>
  <c r="AM25" i="35"/>
  <c r="AN25" i="35"/>
  <c r="AO25" i="35"/>
  <c r="AP25" i="35"/>
  <c r="AQ25" i="35"/>
  <c r="AR25" i="35"/>
  <c r="AS25" i="35"/>
  <c r="AT25" i="35"/>
  <c r="AI27" i="35"/>
  <c r="AJ27" i="35"/>
  <c r="AK27" i="35"/>
  <c r="AL27" i="35"/>
  <c r="AM27" i="35"/>
  <c r="AN27" i="35"/>
  <c r="AO27" i="35"/>
  <c r="AP27" i="35"/>
  <c r="AQ27" i="35"/>
  <c r="AR27" i="35"/>
  <c r="AS27" i="35"/>
  <c r="AT27" i="35"/>
  <c r="AI28" i="35"/>
  <c r="AJ28" i="35"/>
  <c r="AK28" i="35"/>
  <c r="AL28" i="35"/>
  <c r="AM28" i="35"/>
  <c r="AN28" i="35"/>
  <c r="AO28" i="35"/>
  <c r="AP28" i="35"/>
  <c r="AQ28" i="35"/>
  <c r="AR28" i="35"/>
  <c r="AS28" i="35"/>
  <c r="AT28" i="35"/>
  <c r="AI29" i="35"/>
  <c r="AJ29" i="35"/>
  <c r="AK29" i="35"/>
  <c r="AL29" i="35"/>
  <c r="AM29" i="35"/>
  <c r="AN29" i="35"/>
  <c r="AO29" i="35"/>
  <c r="AP29" i="35"/>
  <c r="AQ29" i="35"/>
  <c r="AR29" i="35"/>
  <c r="AS29" i="35"/>
  <c r="AT29" i="35"/>
  <c r="AI30" i="35"/>
  <c r="AJ30" i="35"/>
  <c r="AK30" i="35"/>
  <c r="AL30" i="35"/>
  <c r="AM30" i="35"/>
  <c r="AN30" i="35"/>
  <c r="AO30" i="35"/>
  <c r="AP30" i="35"/>
  <c r="AQ30" i="35"/>
  <c r="AR30" i="35"/>
  <c r="AS30" i="35"/>
  <c r="AT30" i="35"/>
  <c r="AI31" i="35"/>
  <c r="AJ31" i="35"/>
  <c r="AK31" i="35"/>
  <c r="AL31" i="35"/>
  <c r="AM31" i="35"/>
  <c r="AN31" i="35"/>
  <c r="AO31" i="35"/>
  <c r="AP31" i="35"/>
  <c r="AQ31" i="35"/>
  <c r="AR31" i="35"/>
  <c r="AS31" i="35"/>
  <c r="AT31" i="35"/>
  <c r="AI32" i="35"/>
  <c r="AJ32" i="35"/>
  <c r="AK32" i="35"/>
  <c r="AL32" i="35"/>
  <c r="AM32" i="35"/>
  <c r="AN32" i="35"/>
  <c r="AO32" i="35"/>
  <c r="AP32" i="35"/>
  <c r="AQ32" i="35"/>
  <c r="AR32" i="35"/>
  <c r="AS32" i="35"/>
  <c r="AT32" i="35"/>
  <c r="AI33" i="35"/>
  <c r="AJ33" i="35"/>
  <c r="AK33" i="35"/>
  <c r="AL33" i="35"/>
  <c r="AM33" i="35"/>
  <c r="AN33" i="35"/>
  <c r="AO33" i="35"/>
  <c r="AP33" i="35"/>
  <c r="AQ33" i="35"/>
  <c r="AR33" i="35"/>
  <c r="AS33" i="35"/>
  <c r="AT33" i="35"/>
  <c r="AI34" i="35"/>
  <c r="AJ34" i="35"/>
  <c r="AK34" i="35"/>
  <c r="AL34" i="35"/>
  <c r="AM34" i="35"/>
  <c r="AN34" i="35"/>
  <c r="AO34" i="35"/>
  <c r="AP34" i="35"/>
  <c r="AQ34" i="35"/>
  <c r="AR34" i="35"/>
  <c r="AS34" i="35"/>
  <c r="AT34" i="35"/>
  <c r="AI35" i="35"/>
  <c r="AJ35" i="35"/>
  <c r="AK35" i="35"/>
  <c r="AL35" i="35"/>
  <c r="AM35" i="35"/>
  <c r="AN35" i="35"/>
  <c r="AO35" i="35"/>
  <c r="AP35" i="35"/>
  <c r="AQ35" i="35"/>
  <c r="AR35" i="35"/>
  <c r="AS35" i="35"/>
  <c r="AT35" i="35"/>
  <c r="AI36" i="35"/>
  <c r="AJ36" i="35"/>
  <c r="AK36" i="35"/>
  <c r="AL36" i="35"/>
  <c r="AM36" i="35"/>
  <c r="AN36" i="35"/>
  <c r="AO36" i="35"/>
  <c r="AP36" i="35"/>
  <c r="AQ36" i="35"/>
  <c r="AR36" i="35"/>
  <c r="AS36" i="35"/>
  <c r="AT36" i="35"/>
  <c r="AI37" i="35"/>
  <c r="AJ37" i="35"/>
  <c r="AK37" i="35"/>
  <c r="AL37" i="35"/>
  <c r="AM37" i="35"/>
  <c r="AN37" i="35"/>
  <c r="AO37" i="35"/>
  <c r="AP37" i="35"/>
  <c r="AQ37" i="35"/>
  <c r="AR37" i="35"/>
  <c r="AS37" i="35"/>
  <c r="AT37" i="35"/>
  <c r="AI39" i="35"/>
  <c r="AJ39" i="35"/>
  <c r="AK39" i="35"/>
  <c r="AL39" i="35"/>
  <c r="AM39" i="35"/>
  <c r="AN39" i="35"/>
  <c r="AO39" i="35"/>
  <c r="AP39" i="35"/>
  <c r="AQ39" i="35"/>
  <c r="AR39" i="35"/>
  <c r="AS39" i="35"/>
  <c r="AT39" i="35"/>
  <c r="AI40" i="35"/>
  <c r="AJ40" i="35"/>
  <c r="AK40" i="35"/>
  <c r="AL40" i="35"/>
  <c r="AM40" i="35"/>
  <c r="AN40" i="35"/>
  <c r="AO40" i="35"/>
  <c r="AP40" i="35"/>
  <c r="AQ40" i="35"/>
  <c r="AR40" i="35"/>
  <c r="AS40" i="35"/>
  <c r="AT40" i="35"/>
  <c r="AI41" i="35"/>
  <c r="AJ41" i="35"/>
  <c r="AK41" i="35"/>
  <c r="AL41" i="35"/>
  <c r="AM41" i="35"/>
  <c r="AN41" i="35"/>
  <c r="AO41" i="35"/>
  <c r="AP41" i="35"/>
  <c r="AQ41" i="35"/>
  <c r="AR41" i="35"/>
  <c r="AS41" i="35"/>
  <c r="AT41" i="35"/>
  <c r="AI42" i="35"/>
  <c r="AJ42" i="35"/>
  <c r="AK42" i="35"/>
  <c r="AL42" i="35"/>
  <c r="AM42" i="35"/>
  <c r="AN42" i="35"/>
  <c r="AO42" i="35"/>
  <c r="AP42" i="35"/>
  <c r="AQ42" i="35"/>
  <c r="AR42" i="35"/>
  <c r="AS42" i="35"/>
  <c r="AT42" i="35"/>
  <c r="AI43" i="35"/>
  <c r="AJ43" i="35"/>
  <c r="AK43" i="35"/>
  <c r="AL43" i="35"/>
  <c r="AM43" i="35"/>
  <c r="AN43" i="35"/>
  <c r="AO43" i="35"/>
  <c r="AP43" i="35"/>
  <c r="AQ43" i="35"/>
  <c r="AR43" i="35"/>
  <c r="AS43" i="35"/>
  <c r="AT43" i="35"/>
  <c r="AI44" i="35"/>
  <c r="AJ44" i="35"/>
  <c r="AK44" i="35"/>
  <c r="AL44" i="35"/>
  <c r="AM44" i="35"/>
  <c r="AN44" i="35"/>
  <c r="AO44" i="35"/>
  <c r="AP44" i="35"/>
  <c r="AQ44" i="35"/>
  <c r="AR44" i="35"/>
  <c r="AS44" i="35"/>
  <c r="AT44" i="35"/>
  <c r="AI45" i="35"/>
  <c r="AJ45" i="35"/>
  <c r="AK45" i="35"/>
  <c r="AL45" i="35"/>
  <c r="AM45" i="35"/>
  <c r="AN45" i="35"/>
  <c r="AO45" i="35"/>
  <c r="AP45" i="35"/>
  <c r="AQ45" i="35"/>
  <c r="AR45" i="35"/>
  <c r="AS45" i="35"/>
  <c r="AT45" i="35"/>
  <c r="AI46" i="35"/>
  <c r="AJ46" i="35"/>
  <c r="AK46" i="35"/>
  <c r="AL46" i="35"/>
  <c r="AM46" i="35"/>
  <c r="AN46" i="35"/>
  <c r="AO46" i="35"/>
  <c r="AP46" i="35"/>
  <c r="AQ46" i="35"/>
  <c r="AR46" i="35"/>
  <c r="AS46" i="35"/>
  <c r="AT46" i="35"/>
  <c r="AI47" i="35"/>
  <c r="AJ47" i="35"/>
  <c r="AK47" i="35"/>
  <c r="AL47" i="35"/>
  <c r="AM47" i="35"/>
  <c r="AN47" i="35"/>
  <c r="AO47" i="35"/>
  <c r="AP47" i="35"/>
  <c r="AQ47" i="35"/>
  <c r="AR47" i="35"/>
  <c r="AS47" i="35"/>
  <c r="AT47" i="35"/>
  <c r="AI48" i="35"/>
  <c r="AJ48" i="35"/>
  <c r="AK48" i="35"/>
  <c r="AL48" i="35"/>
  <c r="AM48" i="35"/>
  <c r="AN48" i="35"/>
  <c r="AO48" i="35"/>
  <c r="AP48" i="35"/>
  <c r="AQ48" i="35"/>
  <c r="AR48" i="35"/>
  <c r="AS48" i="35"/>
  <c r="AT48" i="35"/>
  <c r="AI49" i="35"/>
  <c r="AJ49" i="35"/>
  <c r="AK49" i="35"/>
  <c r="AL49" i="35"/>
  <c r="AM49" i="35"/>
  <c r="AN49" i="35"/>
  <c r="AO49" i="35"/>
  <c r="AP49" i="35"/>
  <c r="AQ49" i="35"/>
  <c r="AR49" i="35"/>
  <c r="AS49" i="35"/>
  <c r="AT49" i="35"/>
  <c r="AI51" i="35"/>
  <c r="AJ51" i="35"/>
  <c r="AK51" i="35"/>
  <c r="AL51" i="35"/>
  <c r="AM51" i="35"/>
  <c r="AN51" i="35"/>
  <c r="AO51" i="35"/>
  <c r="AP51" i="35"/>
  <c r="AQ51" i="35"/>
  <c r="AR51" i="35"/>
  <c r="AS51" i="35"/>
  <c r="AT51" i="35"/>
  <c r="AI52" i="35"/>
  <c r="AJ52" i="35"/>
  <c r="AK52" i="35"/>
  <c r="AL52" i="35"/>
  <c r="AM52" i="35"/>
  <c r="AN52" i="35"/>
  <c r="AO52" i="35"/>
  <c r="AP52" i="35"/>
  <c r="AQ52" i="35"/>
  <c r="AR52" i="35"/>
  <c r="AS52" i="35"/>
  <c r="AT52" i="35"/>
  <c r="AI53" i="35"/>
  <c r="AJ53" i="35"/>
  <c r="AK53" i="35"/>
  <c r="AL53" i="35"/>
  <c r="AM53" i="35"/>
  <c r="AN53" i="35"/>
  <c r="AO53" i="35"/>
  <c r="AP53" i="35"/>
  <c r="AQ53" i="35"/>
  <c r="AR53" i="35"/>
  <c r="AS53" i="35"/>
  <c r="AT53" i="35"/>
  <c r="AI54" i="35"/>
  <c r="AJ54" i="35"/>
  <c r="AK54" i="35"/>
  <c r="AL54" i="35"/>
  <c r="AM54" i="35"/>
  <c r="AN54" i="35"/>
  <c r="AO54" i="35"/>
  <c r="AP54" i="35"/>
  <c r="AQ54" i="35"/>
  <c r="AR54" i="35"/>
  <c r="AS54" i="35"/>
  <c r="AT54" i="35"/>
  <c r="AI55" i="35"/>
  <c r="AJ55" i="35"/>
  <c r="AK55" i="35"/>
  <c r="AL55" i="35"/>
  <c r="AM55" i="35"/>
  <c r="AN55" i="35"/>
  <c r="AO55" i="35"/>
  <c r="AP55" i="35"/>
  <c r="AQ55" i="35"/>
  <c r="AR55" i="35"/>
  <c r="AS55" i="35"/>
  <c r="AT55" i="35"/>
  <c r="AI56" i="35"/>
  <c r="AJ56" i="35"/>
  <c r="AK56" i="35"/>
  <c r="AL56" i="35"/>
  <c r="AM56" i="35"/>
  <c r="AN56" i="35"/>
  <c r="AO56" i="35"/>
  <c r="AP56" i="35"/>
  <c r="AQ56" i="35"/>
  <c r="AR56" i="35"/>
  <c r="AS56" i="35"/>
  <c r="AT56" i="35"/>
  <c r="AI57" i="35"/>
  <c r="AJ57" i="35"/>
  <c r="AK57" i="35"/>
  <c r="AL57" i="35"/>
  <c r="AM57" i="35"/>
  <c r="AN57" i="35"/>
  <c r="AO57" i="35"/>
  <c r="AP57" i="35"/>
  <c r="AQ57" i="35"/>
  <c r="AR57" i="35"/>
  <c r="AS57" i="35"/>
  <c r="AT57" i="35"/>
  <c r="AI58" i="35"/>
  <c r="AJ58" i="35"/>
  <c r="AK58" i="35"/>
  <c r="AL58" i="35"/>
  <c r="AM58" i="35"/>
  <c r="AN58" i="35"/>
  <c r="AO58" i="35"/>
  <c r="AP58" i="35"/>
  <c r="AQ58" i="35"/>
  <c r="AR58" i="35"/>
  <c r="AS58" i="35"/>
  <c r="AT58" i="35"/>
  <c r="AI59" i="35"/>
  <c r="AJ59" i="35"/>
  <c r="AK59" i="35"/>
  <c r="AL59" i="35"/>
  <c r="AM59" i="35"/>
  <c r="AN59" i="35"/>
  <c r="AO59" i="35"/>
  <c r="AP59" i="35"/>
  <c r="AQ59" i="35"/>
  <c r="AR59" i="35"/>
  <c r="AS59" i="35"/>
  <c r="AT59" i="35"/>
  <c r="AI60" i="35"/>
  <c r="AJ60" i="35"/>
  <c r="AK60" i="35"/>
  <c r="AL60" i="35"/>
  <c r="AM60" i="35"/>
  <c r="AN60" i="35"/>
  <c r="AO60" i="35"/>
  <c r="AP60" i="35"/>
  <c r="AQ60" i="35"/>
  <c r="AR60" i="35"/>
  <c r="AS60" i="35"/>
  <c r="AT60" i="35"/>
  <c r="AI61" i="35"/>
  <c r="AJ61" i="35"/>
  <c r="AK61" i="35"/>
  <c r="AL61" i="35"/>
  <c r="AM61" i="35"/>
  <c r="AN61" i="35"/>
  <c r="AO61" i="35"/>
  <c r="AP61" i="35"/>
  <c r="AQ61" i="35"/>
  <c r="AR61" i="35"/>
  <c r="AS61" i="35"/>
  <c r="AT61" i="35"/>
  <c r="AI63" i="35"/>
  <c r="AJ63" i="35"/>
  <c r="AK63" i="35"/>
  <c r="AL63" i="35"/>
  <c r="AM63" i="35"/>
  <c r="AN63" i="35"/>
  <c r="AO63" i="35"/>
  <c r="AP63" i="35"/>
  <c r="AQ63" i="35"/>
  <c r="AR63" i="35"/>
  <c r="AS63" i="35"/>
  <c r="AT63" i="35"/>
  <c r="AI64" i="35"/>
  <c r="AJ64" i="35"/>
  <c r="AK64" i="35"/>
  <c r="AL64" i="35"/>
  <c r="AM64" i="35"/>
  <c r="AN64" i="35"/>
  <c r="AO64" i="35"/>
  <c r="AP64" i="35"/>
  <c r="AQ64" i="35"/>
  <c r="AR64" i="35"/>
  <c r="AS64" i="35"/>
  <c r="AT64" i="35"/>
  <c r="AI65" i="35"/>
  <c r="AJ65" i="35"/>
  <c r="AK65" i="35"/>
  <c r="AL65" i="35"/>
  <c r="AM65" i="35"/>
  <c r="AN65" i="35"/>
  <c r="AO65" i="35"/>
  <c r="AP65" i="35"/>
  <c r="AQ65" i="35"/>
  <c r="AR65" i="35"/>
  <c r="AS65" i="35"/>
  <c r="AT65" i="35"/>
  <c r="AI66" i="35"/>
  <c r="AJ66" i="35"/>
  <c r="AK66" i="35"/>
  <c r="AL66" i="35"/>
  <c r="AM66" i="35"/>
  <c r="AN66" i="35"/>
  <c r="AO66" i="35"/>
  <c r="AP66" i="35"/>
  <c r="AQ66" i="35"/>
  <c r="AR66" i="35"/>
  <c r="AS66" i="35"/>
  <c r="AT66" i="35"/>
  <c r="AI67" i="35"/>
  <c r="AJ67" i="35"/>
  <c r="AK67" i="35"/>
  <c r="AL67" i="35"/>
  <c r="AM67" i="35"/>
  <c r="AN67" i="35"/>
  <c r="AO67" i="35"/>
  <c r="AP67" i="35"/>
  <c r="AQ67" i="35"/>
  <c r="AR67" i="35"/>
  <c r="AS67" i="35"/>
  <c r="AT67" i="35"/>
  <c r="AI68" i="35"/>
  <c r="AJ68" i="35"/>
  <c r="AK68" i="35"/>
  <c r="AL68" i="35"/>
  <c r="AM68" i="35"/>
  <c r="AN68" i="35"/>
  <c r="AO68" i="35"/>
  <c r="AP68" i="35"/>
  <c r="AQ68" i="35"/>
  <c r="AR68" i="35"/>
  <c r="AS68" i="35"/>
  <c r="AT68" i="35"/>
  <c r="AI69" i="35"/>
  <c r="AJ69" i="35"/>
  <c r="AK69" i="35"/>
  <c r="AL69" i="35"/>
  <c r="AM69" i="35"/>
  <c r="AN69" i="35"/>
  <c r="AO69" i="35"/>
  <c r="AP69" i="35"/>
  <c r="AQ69" i="35"/>
  <c r="AR69" i="35"/>
  <c r="AS69" i="35"/>
  <c r="AT69" i="35"/>
  <c r="AI70" i="35"/>
  <c r="AJ70" i="35"/>
  <c r="AK70" i="35"/>
  <c r="AL70" i="35"/>
  <c r="AM70" i="35"/>
  <c r="AN70" i="35"/>
  <c r="AO70" i="35"/>
  <c r="AP70" i="35"/>
  <c r="AQ70" i="35"/>
  <c r="AR70" i="35"/>
  <c r="AS70" i="35"/>
  <c r="AT70" i="35"/>
  <c r="AI71" i="35"/>
  <c r="AJ71" i="35"/>
  <c r="AK71" i="35"/>
  <c r="AL71" i="35"/>
  <c r="AM71" i="35"/>
  <c r="AN71" i="35"/>
  <c r="AO71" i="35"/>
  <c r="AP71" i="35"/>
  <c r="AQ71" i="35"/>
  <c r="AR71" i="35"/>
  <c r="AS71" i="35"/>
  <c r="AT71" i="35"/>
  <c r="AI72" i="35"/>
  <c r="AJ72" i="35"/>
  <c r="AK72" i="35"/>
  <c r="AL72" i="35"/>
  <c r="AM72" i="35"/>
  <c r="AN72" i="35"/>
  <c r="AO72" i="35"/>
  <c r="AP72" i="35"/>
  <c r="AQ72" i="35"/>
  <c r="AR72" i="35"/>
  <c r="AS72" i="35"/>
  <c r="AT72" i="35"/>
  <c r="AI73" i="35"/>
  <c r="AJ73" i="35"/>
  <c r="AK73" i="35"/>
  <c r="AL73" i="35"/>
  <c r="AM73" i="35"/>
  <c r="AN73" i="35"/>
  <c r="AO73" i="35"/>
  <c r="AP73" i="35"/>
  <c r="AQ73" i="35"/>
  <c r="AR73" i="35"/>
  <c r="AS73" i="35"/>
  <c r="AT73" i="35"/>
  <c r="AI75" i="35"/>
  <c r="AJ75" i="35"/>
  <c r="AK75" i="35"/>
  <c r="AL75" i="35"/>
  <c r="AM75" i="35"/>
  <c r="AN75" i="35"/>
  <c r="AO75" i="35"/>
  <c r="AP75" i="35"/>
  <c r="AQ75" i="35"/>
  <c r="AR75" i="35"/>
  <c r="AS75" i="35"/>
  <c r="AT75" i="35"/>
  <c r="AI76" i="35"/>
  <c r="AJ76" i="35"/>
  <c r="AK76" i="35"/>
  <c r="AL76" i="35"/>
  <c r="AM76" i="35"/>
  <c r="AN76" i="35"/>
  <c r="AO76" i="35"/>
  <c r="AP76" i="35"/>
  <c r="AQ76" i="35"/>
  <c r="AR76" i="35"/>
  <c r="AS76" i="35"/>
  <c r="AT76" i="35"/>
  <c r="AI77" i="35"/>
  <c r="AJ77" i="35"/>
  <c r="AK77" i="35"/>
  <c r="AL77" i="35"/>
  <c r="AM77" i="35"/>
  <c r="AN77" i="35"/>
  <c r="AO77" i="35"/>
  <c r="AP77" i="35"/>
  <c r="AQ77" i="35"/>
  <c r="AR77" i="35"/>
  <c r="AS77" i="35"/>
  <c r="AT77" i="35"/>
  <c r="AI78" i="35"/>
  <c r="AJ78" i="35"/>
  <c r="AK78" i="35"/>
  <c r="AL78" i="35"/>
  <c r="AM78" i="35"/>
  <c r="AN78" i="35"/>
  <c r="AO78" i="35"/>
  <c r="AP78" i="35"/>
  <c r="AQ78" i="35"/>
  <c r="AR78" i="35"/>
  <c r="AS78" i="35"/>
  <c r="AT78" i="35"/>
  <c r="AI79" i="35"/>
  <c r="AJ79" i="35"/>
  <c r="AK79" i="35"/>
  <c r="AL79" i="35"/>
  <c r="AM79" i="35"/>
  <c r="AN79" i="35"/>
  <c r="AO79" i="35"/>
  <c r="AP79" i="35"/>
  <c r="AQ79" i="35"/>
  <c r="AR79" i="35"/>
  <c r="AS79" i="35"/>
  <c r="AT79" i="35"/>
  <c r="AI80" i="35"/>
  <c r="AJ80" i="35"/>
  <c r="AK80" i="35"/>
  <c r="AL80" i="35"/>
  <c r="AM80" i="35"/>
  <c r="AN80" i="35"/>
  <c r="AO80" i="35"/>
  <c r="AP80" i="35"/>
  <c r="AQ80" i="35"/>
  <c r="AR80" i="35"/>
  <c r="AS80" i="35"/>
  <c r="AT80" i="35"/>
  <c r="AI81" i="35"/>
  <c r="AJ81" i="35"/>
  <c r="AK81" i="35"/>
  <c r="AL81" i="35"/>
  <c r="AM81" i="35"/>
  <c r="AN81" i="35"/>
  <c r="AO81" i="35"/>
  <c r="AP81" i="35"/>
  <c r="AQ81" i="35"/>
  <c r="AR81" i="35"/>
  <c r="AS81" i="35"/>
  <c r="AT81" i="35"/>
  <c r="AI82" i="35"/>
  <c r="AJ82" i="35"/>
  <c r="AK82" i="35"/>
  <c r="AL82" i="35"/>
  <c r="AM82" i="35"/>
  <c r="AN82" i="35"/>
  <c r="AO82" i="35"/>
  <c r="AP82" i="35"/>
  <c r="AQ82" i="35"/>
  <c r="AR82" i="35"/>
  <c r="AS82" i="35"/>
  <c r="AT82" i="35"/>
  <c r="AI83" i="35"/>
  <c r="AJ83" i="35"/>
  <c r="AK83" i="35"/>
  <c r="AL83" i="35"/>
  <c r="AM83" i="35"/>
  <c r="AN83" i="35"/>
  <c r="AO83" i="35"/>
  <c r="AP83" i="35"/>
  <c r="AQ83" i="35"/>
  <c r="AR83" i="35"/>
  <c r="AS83" i="35"/>
  <c r="AT83" i="35"/>
  <c r="AI84" i="35"/>
  <c r="AJ84" i="35"/>
  <c r="AK84" i="35"/>
  <c r="AL84" i="35"/>
  <c r="AM84" i="35"/>
  <c r="AN84" i="35"/>
  <c r="AO84" i="35"/>
  <c r="AP84" i="35"/>
  <c r="AQ84" i="35"/>
  <c r="AR84" i="35"/>
  <c r="AS84" i="35"/>
  <c r="AT84" i="35"/>
  <c r="AI85" i="35"/>
  <c r="AJ85" i="35"/>
  <c r="AK85" i="35"/>
  <c r="AL85" i="35"/>
  <c r="AM85" i="35"/>
  <c r="AN85" i="35"/>
  <c r="AO85" i="35"/>
  <c r="AP85" i="35"/>
  <c r="AQ85" i="35"/>
  <c r="AR85" i="35"/>
  <c r="AS85" i="35"/>
  <c r="AT85" i="35"/>
  <c r="AI87" i="35"/>
  <c r="AJ87" i="35"/>
  <c r="AK87" i="35"/>
  <c r="AL87" i="35"/>
  <c r="AM87" i="35"/>
  <c r="AN87" i="35"/>
  <c r="AO87" i="35"/>
  <c r="AP87" i="35"/>
  <c r="AQ87" i="35"/>
  <c r="AR87" i="35"/>
  <c r="AS87" i="35"/>
  <c r="AT87" i="35"/>
  <c r="AI88" i="35"/>
  <c r="AJ88" i="35"/>
  <c r="AK88" i="35"/>
  <c r="AL88" i="35"/>
  <c r="AM88" i="35"/>
  <c r="AN88" i="35"/>
  <c r="AO88" i="35"/>
  <c r="AP88" i="35"/>
  <c r="AQ88" i="35"/>
  <c r="AR88" i="35"/>
  <c r="AS88" i="35"/>
  <c r="AT88" i="35"/>
  <c r="AI89" i="35"/>
  <c r="AJ89" i="35"/>
  <c r="AK89" i="35"/>
  <c r="AL89" i="35"/>
  <c r="AM89" i="35"/>
  <c r="AN89" i="35"/>
  <c r="AO89" i="35"/>
  <c r="AP89" i="35"/>
  <c r="AQ89" i="35"/>
  <c r="AR89" i="35"/>
  <c r="AS89" i="35"/>
  <c r="AT89" i="35"/>
  <c r="AI90" i="35"/>
  <c r="AJ90" i="35"/>
  <c r="AK90" i="35"/>
  <c r="AL90" i="35"/>
  <c r="AM90" i="35"/>
  <c r="AN90" i="35"/>
  <c r="AO90" i="35"/>
  <c r="AP90" i="35"/>
  <c r="AQ90" i="35"/>
  <c r="AR90" i="35"/>
  <c r="AS90" i="35"/>
  <c r="AT90" i="35"/>
  <c r="AI91" i="35"/>
  <c r="AJ91" i="35"/>
  <c r="AK91" i="35"/>
  <c r="AL91" i="35"/>
  <c r="AM91" i="35"/>
  <c r="AN91" i="35"/>
  <c r="AO91" i="35"/>
  <c r="AP91" i="35"/>
  <c r="AQ91" i="35"/>
  <c r="AR91" i="35"/>
  <c r="AS91" i="35"/>
  <c r="AT91" i="35"/>
  <c r="AI92" i="35"/>
  <c r="AJ92" i="35"/>
  <c r="AK92" i="35"/>
  <c r="AL92" i="35"/>
  <c r="AM92" i="35"/>
  <c r="AN92" i="35"/>
  <c r="AO92" i="35"/>
  <c r="AP92" i="35"/>
  <c r="AQ92" i="35"/>
  <c r="AR92" i="35"/>
  <c r="AS92" i="35"/>
  <c r="AT92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I101" i="35"/>
  <c r="AJ101" i="35"/>
  <c r="AK101" i="35"/>
  <c r="AL101" i="35"/>
  <c r="AM101" i="35"/>
  <c r="AN101" i="35"/>
  <c r="AO101" i="35"/>
  <c r="AP101" i="35"/>
  <c r="AQ101" i="35"/>
  <c r="AR101" i="35"/>
  <c r="AS101" i="35"/>
  <c r="AT101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I106" i="35"/>
  <c r="AJ106" i="35"/>
  <c r="AK106" i="35"/>
  <c r="AL106" i="35"/>
  <c r="AM106" i="35"/>
  <c r="AN106" i="35"/>
  <c r="AO106" i="35"/>
  <c r="AP106" i="35"/>
  <c r="AQ106" i="35"/>
  <c r="AR106" i="35"/>
  <c r="AS106" i="35"/>
  <c r="AT106" i="35"/>
  <c r="AI107" i="35"/>
  <c r="AJ107" i="35"/>
  <c r="AK107" i="35"/>
  <c r="AL107" i="35"/>
  <c r="AM107" i="35"/>
  <c r="AN107" i="35"/>
  <c r="AO107" i="35"/>
  <c r="AP107" i="35"/>
  <c r="AQ107" i="35"/>
  <c r="AR107" i="35"/>
  <c r="AS107" i="35"/>
  <c r="AT107" i="35"/>
  <c r="AI108" i="35"/>
  <c r="AJ108" i="35"/>
  <c r="AK108" i="35"/>
  <c r="AL108" i="35"/>
  <c r="AM108" i="35"/>
  <c r="AN108" i="35"/>
  <c r="AO108" i="35"/>
  <c r="AP108" i="35"/>
  <c r="AQ108" i="35"/>
  <c r="AR108" i="35"/>
  <c r="AS108" i="35"/>
  <c r="AT108" i="35"/>
  <c r="AI109" i="35"/>
  <c r="AJ109" i="35"/>
  <c r="AK109" i="35"/>
  <c r="AL109" i="35"/>
  <c r="AM109" i="35"/>
  <c r="AN109" i="35"/>
  <c r="AO109" i="35"/>
  <c r="AP109" i="35"/>
  <c r="AQ109" i="35"/>
  <c r="AR109" i="35"/>
  <c r="AS109" i="35"/>
  <c r="AT109" i="35"/>
  <c r="AI111" i="35"/>
  <c r="AJ111" i="35"/>
  <c r="AK111" i="35"/>
  <c r="AL111" i="35"/>
  <c r="AM111" i="35"/>
  <c r="AN111" i="35"/>
  <c r="AO111" i="35"/>
  <c r="AP111" i="35"/>
  <c r="AQ111" i="35"/>
  <c r="AR111" i="35"/>
  <c r="AS111" i="35"/>
  <c r="AT111" i="35"/>
  <c r="AI112" i="35"/>
  <c r="AJ112" i="35"/>
  <c r="AK112" i="35"/>
  <c r="AL112" i="35"/>
  <c r="AM112" i="35"/>
  <c r="AN112" i="35"/>
  <c r="AO112" i="35"/>
  <c r="AP112" i="35"/>
  <c r="AQ112" i="35"/>
  <c r="AR112" i="35"/>
  <c r="AS112" i="35"/>
  <c r="AT112" i="35"/>
  <c r="AI113" i="35"/>
  <c r="AJ113" i="35"/>
  <c r="AK113" i="35"/>
  <c r="AL113" i="35"/>
  <c r="AM113" i="35"/>
  <c r="AN113" i="35"/>
  <c r="AO113" i="35"/>
  <c r="AP113" i="35"/>
  <c r="AQ113" i="35"/>
  <c r="AR113" i="35"/>
  <c r="AS113" i="35"/>
  <c r="AT113" i="35"/>
  <c r="AI114" i="35"/>
  <c r="AJ114" i="35"/>
  <c r="AK114" i="35"/>
  <c r="AL114" i="35"/>
  <c r="AM114" i="35"/>
  <c r="AN114" i="35"/>
  <c r="AO114" i="35"/>
  <c r="AP114" i="35"/>
  <c r="AQ114" i="35"/>
  <c r="AR114" i="35"/>
  <c r="AS114" i="35"/>
  <c r="AT114" i="35"/>
  <c r="AI115" i="35"/>
  <c r="AJ115" i="35"/>
  <c r="AK115" i="35"/>
  <c r="AL115" i="35"/>
  <c r="AM115" i="35"/>
  <c r="AN115" i="35"/>
  <c r="AO115" i="35"/>
  <c r="AP115" i="35"/>
  <c r="AQ115" i="35"/>
  <c r="AR115" i="35"/>
  <c r="AS115" i="35"/>
  <c r="AT115" i="35"/>
  <c r="AI116" i="35"/>
  <c r="AJ116" i="35"/>
  <c r="AK116" i="35"/>
  <c r="AL116" i="35"/>
  <c r="AM116" i="35"/>
  <c r="AN116" i="35"/>
  <c r="AO116" i="35"/>
  <c r="AP116" i="35"/>
  <c r="AQ116" i="35"/>
  <c r="AR116" i="35"/>
  <c r="AS116" i="35"/>
  <c r="AT116" i="35"/>
  <c r="AI117" i="35"/>
  <c r="AJ117" i="35"/>
  <c r="AK117" i="35"/>
  <c r="AL117" i="35"/>
  <c r="AM117" i="35"/>
  <c r="AN117" i="35"/>
  <c r="AO117" i="35"/>
  <c r="AP117" i="35"/>
  <c r="AQ117" i="35"/>
  <c r="AR117" i="35"/>
  <c r="AS117" i="35"/>
  <c r="AT117" i="35"/>
  <c r="AI118" i="35"/>
  <c r="AJ118" i="35"/>
  <c r="AK118" i="35"/>
  <c r="AL118" i="35"/>
  <c r="AM118" i="35"/>
  <c r="AN118" i="35"/>
  <c r="AO118" i="35"/>
  <c r="AP118" i="35"/>
  <c r="AQ118" i="35"/>
  <c r="AR118" i="35"/>
  <c r="AS118" i="35"/>
  <c r="AT118" i="35"/>
  <c r="AI119" i="35"/>
  <c r="AJ119" i="35"/>
  <c r="AK119" i="35"/>
  <c r="AL119" i="35"/>
  <c r="AM119" i="35"/>
  <c r="AN119" i="35"/>
  <c r="AO119" i="35"/>
  <c r="AP119" i="35"/>
  <c r="AQ119" i="35"/>
  <c r="AR119" i="35"/>
  <c r="AS119" i="35"/>
  <c r="AT119" i="35"/>
  <c r="AI120" i="35"/>
  <c r="AJ120" i="35"/>
  <c r="AK120" i="35"/>
  <c r="AL120" i="35"/>
  <c r="AM120" i="35"/>
  <c r="AN120" i="35"/>
  <c r="AO120" i="35"/>
  <c r="AP120" i="35"/>
  <c r="AQ120" i="35"/>
  <c r="AR120" i="35"/>
  <c r="AS120" i="35"/>
  <c r="AT120" i="35"/>
  <c r="AI121" i="35"/>
  <c r="AJ121" i="35"/>
  <c r="AK121" i="35"/>
  <c r="AL121" i="35"/>
  <c r="AM121" i="35"/>
  <c r="AN121" i="35"/>
  <c r="AO121" i="35"/>
  <c r="AP121" i="35"/>
  <c r="AQ121" i="35"/>
  <c r="AR121" i="35"/>
  <c r="AS121" i="35"/>
  <c r="AT121" i="35"/>
  <c r="AJ14" i="35"/>
  <c r="AJ26" i="35" s="1"/>
  <c r="AJ38" i="35" s="1"/>
  <c r="AJ50" i="35" s="1"/>
  <c r="AJ62" i="35" s="1"/>
  <c r="AJ74" i="35" s="1"/>
  <c r="AJ86" i="35" s="1"/>
  <c r="AJ98" i="35" s="1"/>
  <c r="AJ110" i="35" s="1"/>
  <c r="AK14" i="35"/>
  <c r="AK26" i="35" s="1"/>
  <c r="AK38" i="35" s="1"/>
  <c r="AK50" i="35" s="1"/>
  <c r="AK62" i="35" s="1"/>
  <c r="AK74" i="35" s="1"/>
  <c r="AK86" i="35" s="1"/>
  <c r="AK98" i="35" s="1"/>
  <c r="AK110" i="35" s="1"/>
  <c r="AL14" i="35"/>
  <c r="AL26" i="35" s="1"/>
  <c r="AL38" i="35" s="1"/>
  <c r="AL50" i="35" s="1"/>
  <c r="AL62" i="35" s="1"/>
  <c r="AL74" i="35" s="1"/>
  <c r="AL86" i="35" s="1"/>
  <c r="AL98" i="35" s="1"/>
  <c r="AL110" i="35" s="1"/>
  <c r="AM14" i="35"/>
  <c r="AM26" i="35" s="1"/>
  <c r="AM38" i="35" s="1"/>
  <c r="AM50" i="35" s="1"/>
  <c r="AM62" i="35" s="1"/>
  <c r="AM74" i="35" s="1"/>
  <c r="AM86" i="35" s="1"/>
  <c r="AM98" i="35" s="1"/>
  <c r="AM110" i="35" s="1"/>
  <c r="AN14" i="35"/>
  <c r="AN26" i="35" s="1"/>
  <c r="AN38" i="35" s="1"/>
  <c r="AN50" i="35" s="1"/>
  <c r="AN62" i="35" s="1"/>
  <c r="AN74" i="35" s="1"/>
  <c r="AN86" i="35" s="1"/>
  <c r="AN98" i="35" s="1"/>
  <c r="AN110" i="35" s="1"/>
  <c r="AO14" i="35"/>
  <c r="AO26" i="35" s="1"/>
  <c r="AO38" i="35" s="1"/>
  <c r="AO50" i="35" s="1"/>
  <c r="AO62" i="35" s="1"/>
  <c r="AO74" i="35" s="1"/>
  <c r="AO86" i="35" s="1"/>
  <c r="AO98" i="35" s="1"/>
  <c r="AO110" i="35" s="1"/>
  <c r="AP14" i="35"/>
  <c r="AP26" i="35" s="1"/>
  <c r="AP38" i="35" s="1"/>
  <c r="AP50" i="35" s="1"/>
  <c r="AP62" i="35" s="1"/>
  <c r="AP74" i="35" s="1"/>
  <c r="AP86" i="35" s="1"/>
  <c r="AP98" i="35" s="1"/>
  <c r="AP110" i="35" s="1"/>
  <c r="AQ14" i="35"/>
  <c r="AQ26" i="35" s="1"/>
  <c r="AQ38" i="35" s="1"/>
  <c r="AQ50" i="35" s="1"/>
  <c r="AQ62" i="35" s="1"/>
  <c r="AQ74" i="35" s="1"/>
  <c r="AQ86" i="35" s="1"/>
  <c r="AQ98" i="35" s="1"/>
  <c r="AQ110" i="35" s="1"/>
  <c r="AR14" i="35"/>
  <c r="AR26" i="35" s="1"/>
  <c r="AR38" i="35" s="1"/>
  <c r="AR50" i="35" s="1"/>
  <c r="AR62" i="35" s="1"/>
  <c r="AR74" i="35" s="1"/>
  <c r="AR86" i="35" s="1"/>
  <c r="AR98" i="35" s="1"/>
  <c r="AR110" i="35" s="1"/>
  <c r="AS14" i="35"/>
  <c r="AS26" i="35" s="1"/>
  <c r="AS38" i="35" s="1"/>
  <c r="AS50" i="35" s="1"/>
  <c r="AS62" i="35" s="1"/>
  <c r="AS74" i="35" s="1"/>
  <c r="AS86" i="35" s="1"/>
  <c r="AS98" i="35" s="1"/>
  <c r="AS110" i="35" s="1"/>
  <c r="AT14" i="35"/>
  <c r="AT26" i="35" s="1"/>
  <c r="AT38" i="35" s="1"/>
  <c r="AT50" i="35" s="1"/>
  <c r="AT62" i="35" s="1"/>
  <c r="AT74" i="35" s="1"/>
  <c r="AT86" i="35" s="1"/>
  <c r="AT98" i="35" s="1"/>
  <c r="AT110" i="35" s="1"/>
  <c r="AI14" i="35"/>
  <c r="AI26" i="35" s="1"/>
  <c r="AI38" i="35" s="1"/>
  <c r="AI50" i="35" s="1"/>
  <c r="AI62" i="35" s="1"/>
  <c r="AI74" i="35" s="1"/>
  <c r="AI86" i="35" s="1"/>
  <c r="AI98" i="35" s="1"/>
  <c r="AI110" i="35" s="1"/>
  <c r="R3" i="35"/>
  <c r="S3" i="35"/>
  <c r="T3" i="35"/>
  <c r="U3" i="35"/>
  <c r="H4" i="43" s="1"/>
  <c r="V3" i="35"/>
  <c r="W3" i="35"/>
  <c r="X3" i="35"/>
  <c r="I4" i="43" s="1"/>
  <c r="Y3" i="35"/>
  <c r="Z3" i="35"/>
  <c r="AA3" i="35"/>
  <c r="AB3" i="35"/>
  <c r="AC3" i="35"/>
  <c r="AD3" i="35"/>
  <c r="AE3" i="35"/>
  <c r="AF3" i="35"/>
  <c r="R4" i="35"/>
  <c r="S4" i="35"/>
  <c r="T4" i="35"/>
  <c r="U4" i="35"/>
  <c r="H5" i="43" s="1"/>
  <c r="V4" i="35"/>
  <c r="W4" i="35"/>
  <c r="X4" i="35"/>
  <c r="I5" i="43" s="1"/>
  <c r="Y4" i="35"/>
  <c r="Z4" i="35"/>
  <c r="AA4" i="35"/>
  <c r="AB4" i="35"/>
  <c r="AC4" i="35"/>
  <c r="AD4" i="35"/>
  <c r="AE4" i="35"/>
  <c r="AF4" i="35"/>
  <c r="R5" i="35"/>
  <c r="S5" i="35"/>
  <c r="T5" i="35"/>
  <c r="U5" i="35"/>
  <c r="H6" i="43" s="1"/>
  <c r="V5" i="35"/>
  <c r="W5" i="35"/>
  <c r="X5" i="35"/>
  <c r="I6" i="43" s="1"/>
  <c r="Y5" i="35"/>
  <c r="Z5" i="35"/>
  <c r="AA5" i="35"/>
  <c r="AB5" i="35"/>
  <c r="AC5" i="35"/>
  <c r="AD5" i="35"/>
  <c r="AE5" i="35"/>
  <c r="AF5" i="35"/>
  <c r="R6" i="35"/>
  <c r="S6" i="35"/>
  <c r="T6" i="35"/>
  <c r="U6" i="35"/>
  <c r="H7" i="43" s="1"/>
  <c r="V6" i="35"/>
  <c r="W6" i="35"/>
  <c r="X6" i="35"/>
  <c r="I7" i="43" s="1"/>
  <c r="Y6" i="35"/>
  <c r="Z6" i="35"/>
  <c r="AA6" i="35"/>
  <c r="AB6" i="35"/>
  <c r="AC6" i="35"/>
  <c r="AD6" i="35"/>
  <c r="AE6" i="35"/>
  <c r="AF6" i="35"/>
  <c r="R7" i="35"/>
  <c r="S7" i="35"/>
  <c r="T7" i="35"/>
  <c r="U7" i="35"/>
  <c r="H8" i="43" s="1"/>
  <c r="V7" i="35"/>
  <c r="W7" i="35"/>
  <c r="X7" i="35"/>
  <c r="I8" i="43" s="1"/>
  <c r="Y7" i="35"/>
  <c r="Z7" i="35"/>
  <c r="AA7" i="35"/>
  <c r="AB7" i="35"/>
  <c r="AC7" i="35"/>
  <c r="AD7" i="35"/>
  <c r="AE7" i="35"/>
  <c r="AF7" i="35"/>
  <c r="R8" i="35"/>
  <c r="S8" i="35"/>
  <c r="T8" i="35"/>
  <c r="U8" i="35"/>
  <c r="H9" i="43" s="1"/>
  <c r="V8" i="35"/>
  <c r="W8" i="35"/>
  <c r="X8" i="35"/>
  <c r="I9" i="43" s="1"/>
  <c r="Y8" i="35"/>
  <c r="Z8" i="35"/>
  <c r="AA8" i="35"/>
  <c r="AB8" i="35"/>
  <c r="AC8" i="35"/>
  <c r="AD8" i="35"/>
  <c r="AE8" i="35"/>
  <c r="AF8" i="35"/>
  <c r="R9" i="35"/>
  <c r="S9" i="35"/>
  <c r="T9" i="35"/>
  <c r="U9" i="35"/>
  <c r="H10" i="43" s="1"/>
  <c r="V9" i="35"/>
  <c r="W9" i="35"/>
  <c r="X9" i="35"/>
  <c r="I10" i="43" s="1"/>
  <c r="Y9" i="35"/>
  <c r="Z9" i="35"/>
  <c r="AA9" i="35"/>
  <c r="AB9" i="35"/>
  <c r="AC9" i="35"/>
  <c r="AD9" i="35"/>
  <c r="AE9" i="35"/>
  <c r="AF9" i="35"/>
  <c r="R10" i="35"/>
  <c r="S10" i="35"/>
  <c r="T10" i="35"/>
  <c r="U10" i="35"/>
  <c r="H11" i="43" s="1"/>
  <c r="V10" i="35"/>
  <c r="W10" i="35"/>
  <c r="X10" i="35"/>
  <c r="I11" i="43" s="1"/>
  <c r="Y10" i="35"/>
  <c r="Z10" i="35"/>
  <c r="AA10" i="35"/>
  <c r="AB10" i="35"/>
  <c r="AC10" i="35"/>
  <c r="AD10" i="35"/>
  <c r="AE10" i="35"/>
  <c r="AF10" i="35"/>
  <c r="R11" i="35"/>
  <c r="S11" i="35"/>
  <c r="T11" i="35"/>
  <c r="U11" i="35"/>
  <c r="H12" i="43" s="1"/>
  <c r="V11" i="35"/>
  <c r="W11" i="35"/>
  <c r="X11" i="35"/>
  <c r="I12" i="43" s="1"/>
  <c r="Y11" i="35"/>
  <c r="Z11" i="35"/>
  <c r="AA11" i="35"/>
  <c r="AB11" i="35"/>
  <c r="AC11" i="35"/>
  <c r="AD11" i="35"/>
  <c r="AE11" i="35"/>
  <c r="AF11" i="35"/>
  <c r="R12" i="35"/>
  <c r="S12" i="35"/>
  <c r="T12" i="35"/>
  <c r="U12" i="35"/>
  <c r="H13" i="43" s="1"/>
  <c r="V12" i="35"/>
  <c r="W12" i="35"/>
  <c r="X12" i="35"/>
  <c r="I13" i="43" s="1"/>
  <c r="Y12" i="35"/>
  <c r="Z12" i="35"/>
  <c r="AA12" i="35"/>
  <c r="AB12" i="35"/>
  <c r="AC12" i="35"/>
  <c r="AD12" i="35"/>
  <c r="AE12" i="35"/>
  <c r="AF12" i="35"/>
  <c r="R13" i="35"/>
  <c r="S13" i="35"/>
  <c r="T13" i="35"/>
  <c r="U13" i="35"/>
  <c r="H14" i="43" s="1"/>
  <c r="V13" i="35"/>
  <c r="W13" i="35"/>
  <c r="X13" i="35"/>
  <c r="I14" i="43" s="1"/>
  <c r="Y13" i="35"/>
  <c r="Z13" i="35"/>
  <c r="AA13" i="35"/>
  <c r="AB13" i="35"/>
  <c r="AC13" i="35"/>
  <c r="AD13" i="35"/>
  <c r="AE13" i="35"/>
  <c r="AF13" i="35"/>
  <c r="R14" i="35"/>
  <c r="S14" i="35"/>
  <c r="T14" i="35"/>
  <c r="U14" i="35"/>
  <c r="H15" i="43" s="1"/>
  <c r="V14" i="35"/>
  <c r="W14" i="35"/>
  <c r="X14" i="35"/>
  <c r="I15" i="43" s="1"/>
  <c r="Y14" i="35"/>
  <c r="Z14" i="35"/>
  <c r="AA14" i="35"/>
  <c r="AB14" i="35"/>
  <c r="AC14" i="35"/>
  <c r="AD14" i="35"/>
  <c r="AE14" i="35"/>
  <c r="AF14" i="35"/>
  <c r="R15" i="35"/>
  <c r="S15" i="35"/>
  <c r="T15" i="35"/>
  <c r="U15" i="35"/>
  <c r="H16" i="43" s="1"/>
  <c r="V15" i="35"/>
  <c r="W15" i="35"/>
  <c r="X15" i="35"/>
  <c r="I16" i="43" s="1"/>
  <c r="Y15" i="35"/>
  <c r="Z15" i="35"/>
  <c r="AA15" i="35"/>
  <c r="AB15" i="35"/>
  <c r="AC15" i="35"/>
  <c r="AD15" i="35"/>
  <c r="AE15" i="35"/>
  <c r="AF15" i="35"/>
  <c r="R16" i="35"/>
  <c r="S16" i="35"/>
  <c r="T16" i="35"/>
  <c r="U16" i="35"/>
  <c r="H17" i="43" s="1"/>
  <c r="V16" i="35"/>
  <c r="W16" i="35"/>
  <c r="X16" i="35"/>
  <c r="I17" i="43" s="1"/>
  <c r="Y16" i="35"/>
  <c r="Z16" i="35"/>
  <c r="AA16" i="35"/>
  <c r="AB16" i="35"/>
  <c r="AC16" i="35"/>
  <c r="AD16" i="35"/>
  <c r="AE16" i="35"/>
  <c r="AF16" i="35"/>
  <c r="R17" i="35"/>
  <c r="S17" i="35"/>
  <c r="T17" i="35"/>
  <c r="U17" i="35"/>
  <c r="H18" i="43" s="1"/>
  <c r="V17" i="35"/>
  <c r="W17" i="35"/>
  <c r="X17" i="35"/>
  <c r="I18" i="43" s="1"/>
  <c r="Y17" i="35"/>
  <c r="Z17" i="35"/>
  <c r="AA17" i="35"/>
  <c r="AB17" i="35"/>
  <c r="AC17" i="35"/>
  <c r="AD17" i="35"/>
  <c r="AE17" i="35"/>
  <c r="AF17" i="35"/>
  <c r="R18" i="35"/>
  <c r="S18" i="35"/>
  <c r="T18" i="35"/>
  <c r="U18" i="35"/>
  <c r="H19" i="43" s="1"/>
  <c r="V18" i="35"/>
  <c r="W18" i="35"/>
  <c r="X18" i="35"/>
  <c r="I19" i="43" s="1"/>
  <c r="Y18" i="35"/>
  <c r="Z18" i="35"/>
  <c r="AA18" i="35"/>
  <c r="AB18" i="35"/>
  <c r="AC18" i="35"/>
  <c r="AD18" i="35"/>
  <c r="AE18" i="35"/>
  <c r="AF18" i="35"/>
  <c r="R19" i="35"/>
  <c r="S19" i="35"/>
  <c r="T19" i="35"/>
  <c r="U19" i="35"/>
  <c r="H20" i="43" s="1"/>
  <c r="V19" i="35"/>
  <c r="W19" i="35"/>
  <c r="X19" i="35"/>
  <c r="I20" i="43" s="1"/>
  <c r="Y19" i="35"/>
  <c r="Z19" i="35"/>
  <c r="AA19" i="35"/>
  <c r="AB19" i="35"/>
  <c r="AC19" i="35"/>
  <c r="AD19" i="35"/>
  <c r="AE19" i="35"/>
  <c r="AF19" i="35"/>
  <c r="R20" i="35"/>
  <c r="S20" i="35"/>
  <c r="T20" i="35"/>
  <c r="U20" i="35"/>
  <c r="H21" i="43" s="1"/>
  <c r="V20" i="35"/>
  <c r="W20" i="35"/>
  <c r="X20" i="35"/>
  <c r="I21" i="43" s="1"/>
  <c r="Y20" i="35"/>
  <c r="Z20" i="35"/>
  <c r="AA20" i="35"/>
  <c r="AB20" i="35"/>
  <c r="AC20" i="35"/>
  <c r="AD20" i="35"/>
  <c r="AE20" i="35"/>
  <c r="AF20" i="35"/>
  <c r="R21" i="35"/>
  <c r="S21" i="35"/>
  <c r="T21" i="35"/>
  <c r="U21" i="35"/>
  <c r="H22" i="43" s="1"/>
  <c r="V21" i="35"/>
  <c r="W21" i="35"/>
  <c r="X21" i="35"/>
  <c r="I22" i="43" s="1"/>
  <c r="Y21" i="35"/>
  <c r="Z21" i="35"/>
  <c r="AA21" i="35"/>
  <c r="AB21" i="35"/>
  <c r="AC21" i="35"/>
  <c r="AD21" i="35"/>
  <c r="AE21" i="35"/>
  <c r="AF21" i="35"/>
  <c r="R22" i="35"/>
  <c r="S22" i="35"/>
  <c r="T22" i="35"/>
  <c r="U22" i="35"/>
  <c r="H23" i="43" s="1"/>
  <c r="V22" i="35"/>
  <c r="W22" i="35"/>
  <c r="X22" i="35"/>
  <c r="I23" i="43" s="1"/>
  <c r="Y22" i="35"/>
  <c r="Z22" i="35"/>
  <c r="AA22" i="35"/>
  <c r="AB22" i="35"/>
  <c r="AC22" i="35"/>
  <c r="AD22" i="35"/>
  <c r="AE22" i="35"/>
  <c r="AF22" i="35"/>
  <c r="R23" i="35"/>
  <c r="S23" i="35"/>
  <c r="T23" i="35"/>
  <c r="U23" i="35"/>
  <c r="H24" i="43" s="1"/>
  <c r="V23" i="35"/>
  <c r="W23" i="35"/>
  <c r="X23" i="35"/>
  <c r="I24" i="43" s="1"/>
  <c r="Y23" i="35"/>
  <c r="Z23" i="35"/>
  <c r="AA23" i="35"/>
  <c r="AB23" i="35"/>
  <c r="AC23" i="35"/>
  <c r="AD23" i="35"/>
  <c r="AE23" i="35"/>
  <c r="AF23" i="35"/>
  <c r="R24" i="35"/>
  <c r="S24" i="35"/>
  <c r="T24" i="35"/>
  <c r="U24" i="35"/>
  <c r="H25" i="43" s="1"/>
  <c r="V24" i="35"/>
  <c r="W24" i="35"/>
  <c r="X24" i="35"/>
  <c r="I25" i="43" s="1"/>
  <c r="Y24" i="35"/>
  <c r="Z24" i="35"/>
  <c r="AA24" i="35"/>
  <c r="AB24" i="35"/>
  <c r="AC24" i="35"/>
  <c r="AD24" i="35"/>
  <c r="AE24" i="35"/>
  <c r="AF24" i="35"/>
  <c r="R25" i="35"/>
  <c r="S25" i="35"/>
  <c r="T25" i="35"/>
  <c r="U25" i="35"/>
  <c r="H26" i="43" s="1"/>
  <c r="V25" i="35"/>
  <c r="W25" i="35"/>
  <c r="X25" i="35"/>
  <c r="I26" i="43" s="1"/>
  <c r="Y25" i="35"/>
  <c r="Z25" i="35"/>
  <c r="AA25" i="35"/>
  <c r="AB25" i="35"/>
  <c r="AC25" i="35"/>
  <c r="AD25" i="35"/>
  <c r="AE25" i="35"/>
  <c r="AF25" i="35"/>
  <c r="R26" i="35"/>
  <c r="S26" i="35"/>
  <c r="T26" i="35"/>
  <c r="U26" i="35"/>
  <c r="H27" i="43" s="1"/>
  <c r="V26" i="35"/>
  <c r="W26" i="35"/>
  <c r="X26" i="35"/>
  <c r="I27" i="43" s="1"/>
  <c r="Y26" i="35"/>
  <c r="Z26" i="35"/>
  <c r="AA26" i="35"/>
  <c r="AB26" i="35"/>
  <c r="AC26" i="35"/>
  <c r="AD26" i="35"/>
  <c r="AE26" i="35"/>
  <c r="AF26" i="35"/>
  <c r="R27" i="35"/>
  <c r="S27" i="35"/>
  <c r="T27" i="35"/>
  <c r="U27" i="35"/>
  <c r="H28" i="43" s="1"/>
  <c r="V27" i="35"/>
  <c r="W27" i="35"/>
  <c r="X27" i="35"/>
  <c r="I28" i="43" s="1"/>
  <c r="Y27" i="35"/>
  <c r="Z27" i="35"/>
  <c r="AA27" i="35"/>
  <c r="AB27" i="35"/>
  <c r="AC27" i="35"/>
  <c r="AD27" i="35"/>
  <c r="AE27" i="35"/>
  <c r="AF27" i="35"/>
  <c r="R28" i="35"/>
  <c r="S28" i="35"/>
  <c r="T28" i="35"/>
  <c r="U28" i="35"/>
  <c r="H29" i="43" s="1"/>
  <c r="V28" i="35"/>
  <c r="W28" i="35"/>
  <c r="X28" i="35"/>
  <c r="I29" i="43" s="1"/>
  <c r="Y28" i="35"/>
  <c r="Z28" i="35"/>
  <c r="AA28" i="35"/>
  <c r="AB28" i="35"/>
  <c r="AC28" i="35"/>
  <c r="AD28" i="35"/>
  <c r="AE28" i="35"/>
  <c r="AF28" i="35"/>
  <c r="R29" i="35"/>
  <c r="S29" i="35"/>
  <c r="T29" i="35"/>
  <c r="U29" i="35"/>
  <c r="H30" i="43" s="1"/>
  <c r="V29" i="35"/>
  <c r="W29" i="35"/>
  <c r="X29" i="35"/>
  <c r="I30" i="43" s="1"/>
  <c r="Y29" i="35"/>
  <c r="Z29" i="35"/>
  <c r="AA29" i="35"/>
  <c r="AB29" i="35"/>
  <c r="AC29" i="35"/>
  <c r="AD29" i="35"/>
  <c r="AE29" i="35"/>
  <c r="AF29" i="35"/>
  <c r="R30" i="35"/>
  <c r="S30" i="35"/>
  <c r="T30" i="35"/>
  <c r="U30" i="35"/>
  <c r="H31" i="43" s="1"/>
  <c r="V30" i="35"/>
  <c r="W30" i="35"/>
  <c r="X30" i="35"/>
  <c r="I31" i="43" s="1"/>
  <c r="Y30" i="35"/>
  <c r="Z30" i="35"/>
  <c r="AA30" i="35"/>
  <c r="AB30" i="35"/>
  <c r="AC30" i="35"/>
  <c r="AD30" i="35"/>
  <c r="AE30" i="35"/>
  <c r="AF30" i="35"/>
  <c r="R31" i="35"/>
  <c r="S31" i="35"/>
  <c r="T31" i="35"/>
  <c r="U31" i="35"/>
  <c r="H32" i="43" s="1"/>
  <c r="V31" i="35"/>
  <c r="W31" i="35"/>
  <c r="X31" i="35"/>
  <c r="I32" i="43" s="1"/>
  <c r="Y31" i="35"/>
  <c r="Z31" i="35"/>
  <c r="AA31" i="35"/>
  <c r="AB31" i="35"/>
  <c r="AC31" i="35"/>
  <c r="AD31" i="35"/>
  <c r="AE31" i="35"/>
  <c r="AF31" i="35"/>
  <c r="R32" i="35"/>
  <c r="S32" i="35"/>
  <c r="T32" i="35"/>
  <c r="U32" i="35"/>
  <c r="H33" i="43" s="1"/>
  <c r="V32" i="35"/>
  <c r="W32" i="35"/>
  <c r="X32" i="35"/>
  <c r="I33" i="43" s="1"/>
  <c r="Y32" i="35"/>
  <c r="Z32" i="35"/>
  <c r="AA32" i="35"/>
  <c r="AB32" i="35"/>
  <c r="AC32" i="35"/>
  <c r="AD32" i="35"/>
  <c r="AE32" i="35"/>
  <c r="AF32" i="35"/>
  <c r="R33" i="35"/>
  <c r="S33" i="35"/>
  <c r="T33" i="35"/>
  <c r="U33" i="35"/>
  <c r="H34" i="43" s="1"/>
  <c r="V33" i="35"/>
  <c r="W33" i="35"/>
  <c r="X33" i="35"/>
  <c r="I34" i="43" s="1"/>
  <c r="Y33" i="35"/>
  <c r="Z33" i="35"/>
  <c r="AA33" i="35"/>
  <c r="AB33" i="35"/>
  <c r="AC33" i="35"/>
  <c r="AD33" i="35"/>
  <c r="AE33" i="35"/>
  <c r="AF33" i="35"/>
  <c r="R34" i="35"/>
  <c r="S34" i="35"/>
  <c r="T34" i="35"/>
  <c r="U34" i="35"/>
  <c r="H35" i="43" s="1"/>
  <c r="V34" i="35"/>
  <c r="W34" i="35"/>
  <c r="X34" i="35"/>
  <c r="I35" i="43" s="1"/>
  <c r="Y34" i="35"/>
  <c r="Z34" i="35"/>
  <c r="AA34" i="35"/>
  <c r="AB34" i="35"/>
  <c r="AC34" i="35"/>
  <c r="AD34" i="35"/>
  <c r="AE34" i="35"/>
  <c r="AF34" i="35"/>
  <c r="R35" i="35"/>
  <c r="S35" i="35"/>
  <c r="T35" i="35"/>
  <c r="U35" i="35"/>
  <c r="H36" i="43" s="1"/>
  <c r="V35" i="35"/>
  <c r="W35" i="35"/>
  <c r="X35" i="35"/>
  <c r="I36" i="43" s="1"/>
  <c r="Y35" i="35"/>
  <c r="Z35" i="35"/>
  <c r="AA35" i="35"/>
  <c r="AB35" i="35"/>
  <c r="AC35" i="35"/>
  <c r="AD35" i="35"/>
  <c r="AE35" i="35"/>
  <c r="AF35" i="35"/>
  <c r="R36" i="35"/>
  <c r="S36" i="35"/>
  <c r="T36" i="35"/>
  <c r="U36" i="35"/>
  <c r="H37" i="43" s="1"/>
  <c r="V36" i="35"/>
  <c r="W36" i="35"/>
  <c r="X36" i="35"/>
  <c r="I37" i="43" s="1"/>
  <c r="Y36" i="35"/>
  <c r="Z36" i="35"/>
  <c r="AA36" i="35"/>
  <c r="AB36" i="35"/>
  <c r="AC36" i="35"/>
  <c r="AD36" i="35"/>
  <c r="AE36" i="35"/>
  <c r="AF36" i="35"/>
  <c r="R37" i="35"/>
  <c r="S37" i="35"/>
  <c r="T37" i="35"/>
  <c r="U37" i="35"/>
  <c r="H38" i="43" s="1"/>
  <c r="V37" i="35"/>
  <c r="W37" i="35"/>
  <c r="X37" i="35"/>
  <c r="I38" i="43" s="1"/>
  <c r="Y37" i="35"/>
  <c r="Z37" i="35"/>
  <c r="AA37" i="35"/>
  <c r="AB37" i="35"/>
  <c r="AC37" i="35"/>
  <c r="AD37" i="35"/>
  <c r="AE37" i="35"/>
  <c r="AF37" i="35"/>
  <c r="R38" i="35"/>
  <c r="S38" i="35"/>
  <c r="T38" i="35"/>
  <c r="U38" i="35"/>
  <c r="H39" i="43" s="1"/>
  <c r="V38" i="35"/>
  <c r="W38" i="35"/>
  <c r="X38" i="35"/>
  <c r="I39" i="43" s="1"/>
  <c r="Y38" i="35"/>
  <c r="Z38" i="35"/>
  <c r="AA38" i="35"/>
  <c r="AB38" i="35"/>
  <c r="AC38" i="35"/>
  <c r="AD38" i="35"/>
  <c r="AE38" i="35"/>
  <c r="AF38" i="35"/>
  <c r="R39" i="35"/>
  <c r="S39" i="35"/>
  <c r="T39" i="35"/>
  <c r="U39" i="35"/>
  <c r="H40" i="43" s="1"/>
  <c r="V39" i="35"/>
  <c r="W39" i="35"/>
  <c r="X39" i="35"/>
  <c r="I40" i="43" s="1"/>
  <c r="Y39" i="35"/>
  <c r="Z39" i="35"/>
  <c r="AA39" i="35"/>
  <c r="AB39" i="35"/>
  <c r="AC39" i="35"/>
  <c r="AD39" i="35"/>
  <c r="AE39" i="35"/>
  <c r="AF39" i="35"/>
  <c r="R40" i="35"/>
  <c r="S40" i="35"/>
  <c r="T40" i="35"/>
  <c r="U40" i="35"/>
  <c r="H41" i="43" s="1"/>
  <c r="V40" i="35"/>
  <c r="W40" i="35"/>
  <c r="X40" i="35"/>
  <c r="I41" i="43" s="1"/>
  <c r="Y40" i="35"/>
  <c r="Z40" i="35"/>
  <c r="AA40" i="35"/>
  <c r="AB40" i="35"/>
  <c r="AC40" i="35"/>
  <c r="AD40" i="35"/>
  <c r="AE40" i="35"/>
  <c r="AF40" i="35"/>
  <c r="R41" i="35"/>
  <c r="S41" i="35"/>
  <c r="T41" i="35"/>
  <c r="U41" i="35"/>
  <c r="H42" i="43" s="1"/>
  <c r="V41" i="35"/>
  <c r="W41" i="35"/>
  <c r="X41" i="35"/>
  <c r="I42" i="43" s="1"/>
  <c r="Y41" i="35"/>
  <c r="Z41" i="35"/>
  <c r="AA41" i="35"/>
  <c r="AB41" i="35"/>
  <c r="AC41" i="35"/>
  <c r="AD41" i="35"/>
  <c r="AE41" i="35"/>
  <c r="AF41" i="35"/>
  <c r="R42" i="35"/>
  <c r="S42" i="35"/>
  <c r="T42" i="35"/>
  <c r="U42" i="35"/>
  <c r="H43" i="43" s="1"/>
  <c r="V42" i="35"/>
  <c r="W42" i="35"/>
  <c r="X42" i="35"/>
  <c r="I43" i="43" s="1"/>
  <c r="Y42" i="35"/>
  <c r="Z42" i="35"/>
  <c r="AA42" i="35"/>
  <c r="AB42" i="35"/>
  <c r="AC42" i="35"/>
  <c r="AD42" i="35"/>
  <c r="AE42" i="35"/>
  <c r="AF42" i="35"/>
  <c r="R43" i="35"/>
  <c r="S43" i="35"/>
  <c r="T43" i="35"/>
  <c r="U43" i="35"/>
  <c r="H44" i="43" s="1"/>
  <c r="V43" i="35"/>
  <c r="W43" i="35"/>
  <c r="X43" i="35"/>
  <c r="I44" i="43" s="1"/>
  <c r="Y43" i="35"/>
  <c r="Z43" i="35"/>
  <c r="AA43" i="35"/>
  <c r="AB43" i="35"/>
  <c r="AC43" i="35"/>
  <c r="AD43" i="35"/>
  <c r="AE43" i="35"/>
  <c r="AF43" i="35"/>
  <c r="R44" i="35"/>
  <c r="S44" i="35"/>
  <c r="T44" i="35"/>
  <c r="U44" i="35"/>
  <c r="H45" i="43" s="1"/>
  <c r="V44" i="35"/>
  <c r="W44" i="35"/>
  <c r="X44" i="35"/>
  <c r="I45" i="43" s="1"/>
  <c r="Y44" i="35"/>
  <c r="Z44" i="35"/>
  <c r="AA44" i="35"/>
  <c r="AB44" i="35"/>
  <c r="AC44" i="35"/>
  <c r="AD44" i="35"/>
  <c r="AE44" i="35"/>
  <c r="AF44" i="35"/>
  <c r="R45" i="35"/>
  <c r="S45" i="35"/>
  <c r="T45" i="35"/>
  <c r="U45" i="35"/>
  <c r="H46" i="43" s="1"/>
  <c r="V45" i="35"/>
  <c r="W45" i="35"/>
  <c r="X45" i="35"/>
  <c r="I46" i="43" s="1"/>
  <c r="Y45" i="35"/>
  <c r="Z45" i="35"/>
  <c r="AA45" i="35"/>
  <c r="AB45" i="35"/>
  <c r="AC45" i="35"/>
  <c r="AD45" i="35"/>
  <c r="AE45" i="35"/>
  <c r="AF45" i="35"/>
  <c r="R46" i="35"/>
  <c r="S46" i="35"/>
  <c r="T46" i="35"/>
  <c r="U46" i="35"/>
  <c r="H47" i="43" s="1"/>
  <c r="V46" i="35"/>
  <c r="W46" i="35"/>
  <c r="X46" i="35"/>
  <c r="I47" i="43" s="1"/>
  <c r="Y46" i="35"/>
  <c r="Z46" i="35"/>
  <c r="AA46" i="35"/>
  <c r="AB46" i="35"/>
  <c r="AC46" i="35"/>
  <c r="AD46" i="35"/>
  <c r="AE46" i="35"/>
  <c r="AF46" i="35"/>
  <c r="R47" i="35"/>
  <c r="S47" i="35"/>
  <c r="T47" i="35"/>
  <c r="U47" i="35"/>
  <c r="H48" i="43" s="1"/>
  <c r="V47" i="35"/>
  <c r="W47" i="35"/>
  <c r="X47" i="35"/>
  <c r="I48" i="43" s="1"/>
  <c r="Y47" i="35"/>
  <c r="Z47" i="35"/>
  <c r="AA47" i="35"/>
  <c r="AB47" i="35"/>
  <c r="AC47" i="35"/>
  <c r="AD47" i="35"/>
  <c r="AE47" i="35"/>
  <c r="AF47" i="35"/>
  <c r="R48" i="35"/>
  <c r="S48" i="35"/>
  <c r="T48" i="35"/>
  <c r="U48" i="35"/>
  <c r="H49" i="43" s="1"/>
  <c r="V48" i="35"/>
  <c r="W48" i="35"/>
  <c r="X48" i="35"/>
  <c r="I49" i="43" s="1"/>
  <c r="Y48" i="35"/>
  <c r="Z48" i="35"/>
  <c r="AA48" i="35"/>
  <c r="AB48" i="35"/>
  <c r="AC48" i="35"/>
  <c r="AD48" i="35"/>
  <c r="AE48" i="35"/>
  <c r="AF48" i="35"/>
  <c r="R49" i="35"/>
  <c r="S49" i="35"/>
  <c r="T49" i="35"/>
  <c r="U49" i="35"/>
  <c r="H50" i="43" s="1"/>
  <c r="V49" i="35"/>
  <c r="W49" i="35"/>
  <c r="X49" i="35"/>
  <c r="I50" i="43" s="1"/>
  <c r="Y49" i="35"/>
  <c r="Z49" i="35"/>
  <c r="AA49" i="35"/>
  <c r="AB49" i="35"/>
  <c r="AC49" i="35"/>
  <c r="AD49" i="35"/>
  <c r="AE49" i="35"/>
  <c r="AF49" i="35"/>
  <c r="R50" i="35"/>
  <c r="S50" i="35"/>
  <c r="T50" i="35"/>
  <c r="U50" i="35"/>
  <c r="H51" i="43" s="1"/>
  <c r="V50" i="35"/>
  <c r="W50" i="35"/>
  <c r="X50" i="35"/>
  <c r="I51" i="43" s="1"/>
  <c r="Y50" i="35"/>
  <c r="Z50" i="35"/>
  <c r="AA50" i="35"/>
  <c r="AB50" i="35"/>
  <c r="AC50" i="35"/>
  <c r="AD50" i="35"/>
  <c r="AE50" i="35"/>
  <c r="AF50" i="35"/>
  <c r="R51" i="35"/>
  <c r="S51" i="35"/>
  <c r="T51" i="35"/>
  <c r="U51" i="35"/>
  <c r="H52" i="43" s="1"/>
  <c r="V51" i="35"/>
  <c r="W51" i="35"/>
  <c r="X51" i="35"/>
  <c r="I52" i="43" s="1"/>
  <c r="Y51" i="35"/>
  <c r="Z51" i="35"/>
  <c r="AA51" i="35"/>
  <c r="AB51" i="35"/>
  <c r="AC51" i="35"/>
  <c r="AD51" i="35"/>
  <c r="AE51" i="35"/>
  <c r="AF51" i="35"/>
  <c r="R52" i="35"/>
  <c r="S52" i="35"/>
  <c r="T52" i="35"/>
  <c r="U52" i="35"/>
  <c r="H53" i="43" s="1"/>
  <c r="V52" i="35"/>
  <c r="W52" i="35"/>
  <c r="X52" i="35"/>
  <c r="I53" i="43" s="1"/>
  <c r="Y52" i="35"/>
  <c r="Z52" i="35"/>
  <c r="AA52" i="35"/>
  <c r="AB52" i="35"/>
  <c r="AC52" i="35"/>
  <c r="AD52" i="35"/>
  <c r="AE52" i="35"/>
  <c r="AF52" i="35"/>
  <c r="R53" i="35"/>
  <c r="S53" i="35"/>
  <c r="T53" i="35"/>
  <c r="U53" i="35"/>
  <c r="H54" i="43" s="1"/>
  <c r="V53" i="35"/>
  <c r="W53" i="35"/>
  <c r="X53" i="35"/>
  <c r="I54" i="43" s="1"/>
  <c r="Y53" i="35"/>
  <c r="Z53" i="35"/>
  <c r="AA53" i="35"/>
  <c r="AB53" i="35"/>
  <c r="AC53" i="35"/>
  <c r="AD53" i="35"/>
  <c r="AE53" i="35"/>
  <c r="AF53" i="35"/>
  <c r="R54" i="35"/>
  <c r="S54" i="35"/>
  <c r="T54" i="35"/>
  <c r="U54" i="35"/>
  <c r="H55" i="43" s="1"/>
  <c r="V54" i="35"/>
  <c r="W54" i="35"/>
  <c r="X54" i="35"/>
  <c r="I55" i="43" s="1"/>
  <c r="Y54" i="35"/>
  <c r="Z54" i="35"/>
  <c r="AA54" i="35"/>
  <c r="AB54" i="35"/>
  <c r="AC54" i="35"/>
  <c r="AD54" i="35"/>
  <c r="AE54" i="35"/>
  <c r="AF54" i="35"/>
  <c r="R55" i="35"/>
  <c r="S55" i="35"/>
  <c r="T55" i="35"/>
  <c r="U55" i="35"/>
  <c r="H56" i="43" s="1"/>
  <c r="V55" i="35"/>
  <c r="W55" i="35"/>
  <c r="X55" i="35"/>
  <c r="I56" i="43" s="1"/>
  <c r="Y55" i="35"/>
  <c r="Z55" i="35"/>
  <c r="AA55" i="35"/>
  <c r="AB55" i="35"/>
  <c r="AC55" i="35"/>
  <c r="AD55" i="35"/>
  <c r="AE55" i="35"/>
  <c r="AF55" i="35"/>
  <c r="R56" i="35"/>
  <c r="S56" i="35"/>
  <c r="T56" i="35"/>
  <c r="U56" i="35"/>
  <c r="H57" i="43" s="1"/>
  <c r="V56" i="35"/>
  <c r="W56" i="35"/>
  <c r="X56" i="35"/>
  <c r="I57" i="43" s="1"/>
  <c r="Y56" i="35"/>
  <c r="Z56" i="35"/>
  <c r="AA56" i="35"/>
  <c r="AB56" i="35"/>
  <c r="AC56" i="35"/>
  <c r="AD56" i="35"/>
  <c r="AE56" i="35"/>
  <c r="AF56" i="35"/>
  <c r="R57" i="35"/>
  <c r="S57" i="35"/>
  <c r="T57" i="35"/>
  <c r="U57" i="35"/>
  <c r="H58" i="43" s="1"/>
  <c r="V57" i="35"/>
  <c r="W57" i="35"/>
  <c r="X57" i="35"/>
  <c r="I58" i="43" s="1"/>
  <c r="Y57" i="35"/>
  <c r="Z57" i="35"/>
  <c r="AA57" i="35"/>
  <c r="AB57" i="35"/>
  <c r="AC57" i="35"/>
  <c r="AD57" i="35"/>
  <c r="AE57" i="35"/>
  <c r="AF57" i="35"/>
  <c r="R58" i="35"/>
  <c r="S58" i="35"/>
  <c r="T58" i="35"/>
  <c r="U58" i="35"/>
  <c r="H59" i="43" s="1"/>
  <c r="V58" i="35"/>
  <c r="W58" i="35"/>
  <c r="X58" i="35"/>
  <c r="I59" i="43" s="1"/>
  <c r="Y58" i="35"/>
  <c r="Z58" i="35"/>
  <c r="AA58" i="35"/>
  <c r="AB58" i="35"/>
  <c r="AC58" i="35"/>
  <c r="AD58" i="35"/>
  <c r="AE58" i="35"/>
  <c r="AF58" i="35"/>
  <c r="R59" i="35"/>
  <c r="S59" i="35"/>
  <c r="T59" i="35"/>
  <c r="U59" i="35"/>
  <c r="H60" i="43" s="1"/>
  <c r="V59" i="35"/>
  <c r="W59" i="35"/>
  <c r="X59" i="35"/>
  <c r="I60" i="43" s="1"/>
  <c r="Y59" i="35"/>
  <c r="Z59" i="35"/>
  <c r="AA59" i="35"/>
  <c r="AB59" i="35"/>
  <c r="AC59" i="35"/>
  <c r="AD59" i="35"/>
  <c r="AE59" i="35"/>
  <c r="AF59" i="35"/>
  <c r="R60" i="35"/>
  <c r="S60" i="35"/>
  <c r="T60" i="35"/>
  <c r="U60" i="35"/>
  <c r="H61" i="43" s="1"/>
  <c r="V60" i="35"/>
  <c r="W60" i="35"/>
  <c r="X60" i="35"/>
  <c r="I61" i="43" s="1"/>
  <c r="Y60" i="35"/>
  <c r="Z60" i="35"/>
  <c r="AA60" i="35"/>
  <c r="AB60" i="35"/>
  <c r="AC60" i="35"/>
  <c r="AD60" i="35"/>
  <c r="AE60" i="35"/>
  <c r="AF60" i="35"/>
  <c r="R61" i="35"/>
  <c r="S61" i="35"/>
  <c r="T61" i="35"/>
  <c r="U61" i="35"/>
  <c r="H62" i="43" s="1"/>
  <c r="V61" i="35"/>
  <c r="W61" i="35"/>
  <c r="X61" i="35"/>
  <c r="I62" i="43" s="1"/>
  <c r="Y61" i="35"/>
  <c r="Z61" i="35"/>
  <c r="AA61" i="35"/>
  <c r="AB61" i="35"/>
  <c r="AC61" i="35"/>
  <c r="AD61" i="35"/>
  <c r="AE61" i="35"/>
  <c r="AF61" i="35"/>
  <c r="R62" i="35"/>
  <c r="S62" i="35"/>
  <c r="T62" i="35"/>
  <c r="U62" i="35"/>
  <c r="H63" i="43" s="1"/>
  <c r="V62" i="35"/>
  <c r="W62" i="35"/>
  <c r="X62" i="35"/>
  <c r="I63" i="43" s="1"/>
  <c r="Y62" i="35"/>
  <c r="Z62" i="35"/>
  <c r="AA62" i="35"/>
  <c r="AB62" i="35"/>
  <c r="AC62" i="35"/>
  <c r="AD62" i="35"/>
  <c r="AE62" i="35"/>
  <c r="AF62" i="35"/>
  <c r="R63" i="35"/>
  <c r="S63" i="35"/>
  <c r="T63" i="35"/>
  <c r="U63" i="35"/>
  <c r="H64" i="43" s="1"/>
  <c r="V63" i="35"/>
  <c r="W63" i="35"/>
  <c r="X63" i="35"/>
  <c r="I64" i="43" s="1"/>
  <c r="Y63" i="35"/>
  <c r="Z63" i="35"/>
  <c r="AA63" i="35"/>
  <c r="AB63" i="35"/>
  <c r="AC63" i="35"/>
  <c r="AD63" i="35"/>
  <c r="AE63" i="35"/>
  <c r="AF63" i="35"/>
  <c r="R64" i="35"/>
  <c r="S64" i="35"/>
  <c r="T64" i="35"/>
  <c r="U64" i="35"/>
  <c r="H65" i="43" s="1"/>
  <c r="V64" i="35"/>
  <c r="W64" i="35"/>
  <c r="X64" i="35"/>
  <c r="I65" i="43" s="1"/>
  <c r="Y64" i="35"/>
  <c r="Z64" i="35"/>
  <c r="AA64" i="35"/>
  <c r="AB64" i="35"/>
  <c r="AC64" i="35"/>
  <c r="AD64" i="35"/>
  <c r="AE64" i="35"/>
  <c r="AF64" i="35"/>
  <c r="R65" i="35"/>
  <c r="S65" i="35"/>
  <c r="T65" i="35"/>
  <c r="U65" i="35"/>
  <c r="H66" i="43" s="1"/>
  <c r="V65" i="35"/>
  <c r="W65" i="35"/>
  <c r="X65" i="35"/>
  <c r="I66" i="43" s="1"/>
  <c r="Y65" i="35"/>
  <c r="Z65" i="35"/>
  <c r="AA65" i="35"/>
  <c r="AB65" i="35"/>
  <c r="AC65" i="35"/>
  <c r="AD65" i="35"/>
  <c r="AE65" i="35"/>
  <c r="AF65" i="35"/>
  <c r="R66" i="35"/>
  <c r="S66" i="35"/>
  <c r="T66" i="35"/>
  <c r="U66" i="35"/>
  <c r="H67" i="43" s="1"/>
  <c r="V66" i="35"/>
  <c r="W66" i="35"/>
  <c r="X66" i="35"/>
  <c r="I67" i="43" s="1"/>
  <c r="Y66" i="35"/>
  <c r="Z66" i="35"/>
  <c r="AA66" i="35"/>
  <c r="AB66" i="35"/>
  <c r="AC66" i="35"/>
  <c r="AD66" i="35"/>
  <c r="AE66" i="35"/>
  <c r="AF66" i="35"/>
  <c r="R67" i="35"/>
  <c r="S67" i="35"/>
  <c r="T67" i="35"/>
  <c r="U67" i="35"/>
  <c r="H68" i="43" s="1"/>
  <c r="V67" i="35"/>
  <c r="W67" i="35"/>
  <c r="X67" i="35"/>
  <c r="I68" i="43" s="1"/>
  <c r="Y67" i="35"/>
  <c r="Z67" i="35"/>
  <c r="AA67" i="35"/>
  <c r="AB67" i="35"/>
  <c r="AC67" i="35"/>
  <c r="AD67" i="35"/>
  <c r="AE67" i="35"/>
  <c r="AF67" i="35"/>
  <c r="R68" i="35"/>
  <c r="S68" i="35"/>
  <c r="T68" i="35"/>
  <c r="U68" i="35"/>
  <c r="H69" i="43" s="1"/>
  <c r="V68" i="35"/>
  <c r="W68" i="35"/>
  <c r="X68" i="35"/>
  <c r="I69" i="43" s="1"/>
  <c r="Y68" i="35"/>
  <c r="Z68" i="35"/>
  <c r="AA68" i="35"/>
  <c r="AB68" i="35"/>
  <c r="AC68" i="35"/>
  <c r="AD68" i="35"/>
  <c r="AE68" i="35"/>
  <c r="AF68" i="35"/>
  <c r="R69" i="35"/>
  <c r="S69" i="35"/>
  <c r="T69" i="35"/>
  <c r="U69" i="35"/>
  <c r="H70" i="43" s="1"/>
  <c r="V69" i="35"/>
  <c r="W69" i="35"/>
  <c r="X69" i="35"/>
  <c r="I70" i="43" s="1"/>
  <c r="Y69" i="35"/>
  <c r="Z69" i="35"/>
  <c r="AA69" i="35"/>
  <c r="AB69" i="35"/>
  <c r="AC69" i="35"/>
  <c r="AD69" i="35"/>
  <c r="AE69" i="35"/>
  <c r="AF69" i="35"/>
  <c r="R70" i="35"/>
  <c r="S70" i="35"/>
  <c r="T70" i="35"/>
  <c r="U70" i="35"/>
  <c r="H71" i="43" s="1"/>
  <c r="V70" i="35"/>
  <c r="W70" i="35"/>
  <c r="X70" i="35"/>
  <c r="I71" i="43" s="1"/>
  <c r="Y70" i="35"/>
  <c r="Z70" i="35"/>
  <c r="AA70" i="35"/>
  <c r="AB70" i="35"/>
  <c r="AC70" i="35"/>
  <c r="AD70" i="35"/>
  <c r="AE70" i="35"/>
  <c r="AF70" i="35"/>
  <c r="R71" i="35"/>
  <c r="S71" i="35"/>
  <c r="T71" i="35"/>
  <c r="U71" i="35"/>
  <c r="H72" i="43" s="1"/>
  <c r="V71" i="35"/>
  <c r="W71" i="35"/>
  <c r="X71" i="35"/>
  <c r="I72" i="43" s="1"/>
  <c r="Y71" i="35"/>
  <c r="Z71" i="35"/>
  <c r="AA71" i="35"/>
  <c r="AB71" i="35"/>
  <c r="AC71" i="35"/>
  <c r="AD71" i="35"/>
  <c r="AE71" i="35"/>
  <c r="AF71" i="35"/>
  <c r="R72" i="35"/>
  <c r="S72" i="35"/>
  <c r="T72" i="35"/>
  <c r="U72" i="35"/>
  <c r="H73" i="43" s="1"/>
  <c r="V72" i="35"/>
  <c r="W72" i="35"/>
  <c r="X72" i="35"/>
  <c r="I73" i="43" s="1"/>
  <c r="Y72" i="35"/>
  <c r="Z72" i="35"/>
  <c r="AA72" i="35"/>
  <c r="AB72" i="35"/>
  <c r="AC72" i="35"/>
  <c r="AD72" i="35"/>
  <c r="AE72" i="35"/>
  <c r="AF72" i="35"/>
  <c r="R73" i="35"/>
  <c r="S73" i="35"/>
  <c r="T73" i="35"/>
  <c r="U73" i="35"/>
  <c r="H74" i="43" s="1"/>
  <c r="V73" i="35"/>
  <c r="W73" i="35"/>
  <c r="X73" i="35"/>
  <c r="I74" i="43" s="1"/>
  <c r="Y73" i="35"/>
  <c r="Z73" i="35"/>
  <c r="AA73" i="35"/>
  <c r="AB73" i="35"/>
  <c r="AC73" i="35"/>
  <c r="AD73" i="35"/>
  <c r="AE73" i="35"/>
  <c r="AF73" i="35"/>
  <c r="R74" i="35"/>
  <c r="S74" i="35"/>
  <c r="T74" i="35"/>
  <c r="U74" i="35"/>
  <c r="H75" i="43" s="1"/>
  <c r="V74" i="35"/>
  <c r="W74" i="35"/>
  <c r="X74" i="35"/>
  <c r="I75" i="43" s="1"/>
  <c r="Y74" i="35"/>
  <c r="Z74" i="35"/>
  <c r="AA74" i="35"/>
  <c r="AB74" i="35"/>
  <c r="AC74" i="35"/>
  <c r="AD74" i="35"/>
  <c r="AE74" i="35"/>
  <c r="AF74" i="35"/>
  <c r="R75" i="35"/>
  <c r="S75" i="35"/>
  <c r="T75" i="35"/>
  <c r="U75" i="35"/>
  <c r="H76" i="43" s="1"/>
  <c r="V75" i="35"/>
  <c r="W75" i="35"/>
  <c r="X75" i="35"/>
  <c r="I76" i="43" s="1"/>
  <c r="Y75" i="35"/>
  <c r="Z75" i="35"/>
  <c r="AA75" i="35"/>
  <c r="AB75" i="35"/>
  <c r="AC75" i="35"/>
  <c r="AD75" i="35"/>
  <c r="AE75" i="35"/>
  <c r="AF75" i="35"/>
  <c r="R76" i="35"/>
  <c r="S76" i="35"/>
  <c r="T76" i="35"/>
  <c r="U76" i="35"/>
  <c r="H77" i="43" s="1"/>
  <c r="V76" i="35"/>
  <c r="W76" i="35"/>
  <c r="X76" i="35"/>
  <c r="I77" i="43" s="1"/>
  <c r="Y76" i="35"/>
  <c r="Z76" i="35"/>
  <c r="AA76" i="35"/>
  <c r="AB76" i="35"/>
  <c r="AC76" i="35"/>
  <c r="AD76" i="35"/>
  <c r="AE76" i="35"/>
  <c r="AF76" i="35"/>
  <c r="R77" i="35"/>
  <c r="S77" i="35"/>
  <c r="T77" i="35"/>
  <c r="U77" i="35"/>
  <c r="H78" i="43" s="1"/>
  <c r="V77" i="35"/>
  <c r="W77" i="35"/>
  <c r="X77" i="35"/>
  <c r="I78" i="43" s="1"/>
  <c r="Y77" i="35"/>
  <c r="Z77" i="35"/>
  <c r="AA77" i="35"/>
  <c r="AB77" i="35"/>
  <c r="AC77" i="35"/>
  <c r="AD77" i="35"/>
  <c r="AE77" i="35"/>
  <c r="AF77" i="35"/>
  <c r="R78" i="35"/>
  <c r="S78" i="35"/>
  <c r="T78" i="35"/>
  <c r="U78" i="35"/>
  <c r="H79" i="43" s="1"/>
  <c r="V78" i="35"/>
  <c r="W78" i="35"/>
  <c r="X78" i="35"/>
  <c r="I79" i="43" s="1"/>
  <c r="Y78" i="35"/>
  <c r="Z78" i="35"/>
  <c r="AA78" i="35"/>
  <c r="AB78" i="35"/>
  <c r="AC78" i="35"/>
  <c r="AD78" i="35"/>
  <c r="AE78" i="35"/>
  <c r="AF78" i="35"/>
  <c r="R79" i="35"/>
  <c r="S79" i="35"/>
  <c r="T79" i="35"/>
  <c r="U79" i="35"/>
  <c r="H80" i="43" s="1"/>
  <c r="V79" i="35"/>
  <c r="W79" i="35"/>
  <c r="X79" i="35"/>
  <c r="I80" i="43" s="1"/>
  <c r="Y79" i="35"/>
  <c r="Z79" i="35"/>
  <c r="AA79" i="35"/>
  <c r="AB79" i="35"/>
  <c r="AC79" i="35"/>
  <c r="AD79" i="35"/>
  <c r="AE79" i="35"/>
  <c r="AF79" i="35"/>
  <c r="R80" i="35"/>
  <c r="S80" i="35"/>
  <c r="T80" i="35"/>
  <c r="U80" i="35"/>
  <c r="H81" i="43" s="1"/>
  <c r="V80" i="35"/>
  <c r="W80" i="35"/>
  <c r="X80" i="35"/>
  <c r="I81" i="43" s="1"/>
  <c r="Y80" i="35"/>
  <c r="Z80" i="35"/>
  <c r="AA80" i="35"/>
  <c r="AB80" i="35"/>
  <c r="AC80" i="35"/>
  <c r="AD80" i="35"/>
  <c r="AE80" i="35"/>
  <c r="AF80" i="35"/>
  <c r="R81" i="35"/>
  <c r="S81" i="35"/>
  <c r="T81" i="35"/>
  <c r="U81" i="35"/>
  <c r="H82" i="43" s="1"/>
  <c r="V81" i="35"/>
  <c r="W81" i="35"/>
  <c r="X81" i="35"/>
  <c r="I82" i="43" s="1"/>
  <c r="Y81" i="35"/>
  <c r="Z81" i="35"/>
  <c r="AA81" i="35"/>
  <c r="AB81" i="35"/>
  <c r="AC81" i="35"/>
  <c r="AD81" i="35"/>
  <c r="AE81" i="35"/>
  <c r="AF81" i="35"/>
  <c r="R82" i="35"/>
  <c r="S82" i="35"/>
  <c r="T82" i="35"/>
  <c r="U82" i="35"/>
  <c r="H83" i="43" s="1"/>
  <c r="V82" i="35"/>
  <c r="W82" i="35"/>
  <c r="X82" i="35"/>
  <c r="I83" i="43" s="1"/>
  <c r="Y82" i="35"/>
  <c r="Z82" i="35"/>
  <c r="AA82" i="35"/>
  <c r="AB82" i="35"/>
  <c r="AC82" i="35"/>
  <c r="AD82" i="35"/>
  <c r="AE82" i="35"/>
  <c r="AF82" i="35"/>
  <c r="R83" i="35"/>
  <c r="S83" i="35"/>
  <c r="T83" i="35"/>
  <c r="U83" i="35"/>
  <c r="H84" i="43" s="1"/>
  <c r="V83" i="35"/>
  <c r="W83" i="35"/>
  <c r="X83" i="35"/>
  <c r="I84" i="43" s="1"/>
  <c r="Y83" i="35"/>
  <c r="Z83" i="35"/>
  <c r="AA83" i="35"/>
  <c r="AB83" i="35"/>
  <c r="AC83" i="35"/>
  <c r="AD83" i="35"/>
  <c r="AE83" i="35"/>
  <c r="AF83" i="35"/>
  <c r="R84" i="35"/>
  <c r="S84" i="35"/>
  <c r="T84" i="35"/>
  <c r="U84" i="35"/>
  <c r="H85" i="43" s="1"/>
  <c r="V84" i="35"/>
  <c r="W84" i="35"/>
  <c r="X84" i="35"/>
  <c r="I85" i="43" s="1"/>
  <c r="Y84" i="35"/>
  <c r="Z84" i="35"/>
  <c r="AA84" i="35"/>
  <c r="AB84" i="35"/>
  <c r="AC84" i="35"/>
  <c r="AD84" i="35"/>
  <c r="AE84" i="35"/>
  <c r="AF84" i="35"/>
  <c r="R85" i="35"/>
  <c r="S85" i="35"/>
  <c r="T85" i="35"/>
  <c r="U85" i="35"/>
  <c r="H86" i="43" s="1"/>
  <c r="V85" i="35"/>
  <c r="W85" i="35"/>
  <c r="X85" i="35"/>
  <c r="I86" i="43" s="1"/>
  <c r="Y85" i="35"/>
  <c r="Z85" i="35"/>
  <c r="AA85" i="35"/>
  <c r="AB85" i="35"/>
  <c r="AC85" i="35"/>
  <c r="AD85" i="35"/>
  <c r="AE85" i="35"/>
  <c r="AF85" i="35"/>
  <c r="R86" i="35"/>
  <c r="S86" i="35"/>
  <c r="T86" i="35"/>
  <c r="U86" i="35"/>
  <c r="H87" i="43" s="1"/>
  <c r="V86" i="35"/>
  <c r="W86" i="35"/>
  <c r="X86" i="35"/>
  <c r="I87" i="43" s="1"/>
  <c r="Y86" i="35"/>
  <c r="Z86" i="35"/>
  <c r="AA86" i="35"/>
  <c r="AB86" i="35"/>
  <c r="AC86" i="35"/>
  <c r="AD86" i="35"/>
  <c r="AE86" i="35"/>
  <c r="AF86" i="35"/>
  <c r="R87" i="35"/>
  <c r="S87" i="35"/>
  <c r="T87" i="35"/>
  <c r="U87" i="35"/>
  <c r="H88" i="43" s="1"/>
  <c r="V87" i="35"/>
  <c r="W87" i="35"/>
  <c r="X87" i="35"/>
  <c r="I88" i="43" s="1"/>
  <c r="Y87" i="35"/>
  <c r="Z87" i="35"/>
  <c r="AA87" i="35"/>
  <c r="AB87" i="35"/>
  <c r="AC87" i="35"/>
  <c r="AD87" i="35"/>
  <c r="AE87" i="35"/>
  <c r="AF87" i="35"/>
  <c r="R88" i="35"/>
  <c r="S88" i="35"/>
  <c r="T88" i="35"/>
  <c r="U88" i="35"/>
  <c r="H89" i="43" s="1"/>
  <c r="V88" i="35"/>
  <c r="W88" i="35"/>
  <c r="X88" i="35"/>
  <c r="I89" i="43" s="1"/>
  <c r="Y88" i="35"/>
  <c r="Z88" i="35"/>
  <c r="AA88" i="35"/>
  <c r="AB88" i="35"/>
  <c r="AC88" i="35"/>
  <c r="AD88" i="35"/>
  <c r="AE88" i="35"/>
  <c r="AF88" i="35"/>
  <c r="R89" i="35"/>
  <c r="S89" i="35"/>
  <c r="T89" i="35"/>
  <c r="U89" i="35"/>
  <c r="H90" i="43" s="1"/>
  <c r="V89" i="35"/>
  <c r="W89" i="35"/>
  <c r="X89" i="35"/>
  <c r="I90" i="43" s="1"/>
  <c r="Y89" i="35"/>
  <c r="Z89" i="35"/>
  <c r="AA89" i="35"/>
  <c r="AB89" i="35"/>
  <c r="AC89" i="35"/>
  <c r="AD89" i="35"/>
  <c r="AE89" i="35"/>
  <c r="AF89" i="35"/>
  <c r="R90" i="35"/>
  <c r="S90" i="35"/>
  <c r="T90" i="35"/>
  <c r="U90" i="35"/>
  <c r="H91" i="43" s="1"/>
  <c r="V90" i="35"/>
  <c r="W90" i="35"/>
  <c r="X90" i="35"/>
  <c r="I91" i="43" s="1"/>
  <c r="Y90" i="35"/>
  <c r="Z90" i="35"/>
  <c r="AA90" i="35"/>
  <c r="AB90" i="35"/>
  <c r="AC90" i="35"/>
  <c r="AD90" i="35"/>
  <c r="AE90" i="35"/>
  <c r="AF90" i="35"/>
  <c r="R91" i="35"/>
  <c r="S91" i="35"/>
  <c r="T91" i="35"/>
  <c r="U91" i="35"/>
  <c r="H92" i="43" s="1"/>
  <c r="V91" i="35"/>
  <c r="W91" i="35"/>
  <c r="X91" i="35"/>
  <c r="I92" i="43" s="1"/>
  <c r="Y91" i="35"/>
  <c r="Z91" i="35"/>
  <c r="AA91" i="35"/>
  <c r="AB91" i="35"/>
  <c r="AC91" i="35"/>
  <c r="AD91" i="35"/>
  <c r="AE91" i="35"/>
  <c r="AF91" i="35"/>
  <c r="R92" i="35"/>
  <c r="S92" i="35"/>
  <c r="T92" i="35"/>
  <c r="U92" i="35"/>
  <c r="H93" i="43" s="1"/>
  <c r="V92" i="35"/>
  <c r="W92" i="35"/>
  <c r="X92" i="35"/>
  <c r="I93" i="43" s="1"/>
  <c r="Y92" i="35"/>
  <c r="Z92" i="35"/>
  <c r="AA92" i="35"/>
  <c r="AB92" i="35"/>
  <c r="AC92" i="35"/>
  <c r="AD92" i="35"/>
  <c r="AE92" i="35"/>
  <c r="AF92" i="35"/>
  <c r="R93" i="35"/>
  <c r="S93" i="35"/>
  <c r="T93" i="35"/>
  <c r="U93" i="35"/>
  <c r="H94" i="43" s="1"/>
  <c r="V93" i="35"/>
  <c r="W93" i="35"/>
  <c r="X93" i="35"/>
  <c r="I94" i="43" s="1"/>
  <c r="Y93" i="35"/>
  <c r="Z93" i="35"/>
  <c r="AA93" i="35"/>
  <c r="AB93" i="35"/>
  <c r="AC93" i="35"/>
  <c r="AD93" i="35"/>
  <c r="AE93" i="35"/>
  <c r="AF93" i="35"/>
  <c r="R94" i="35"/>
  <c r="S94" i="35"/>
  <c r="T94" i="35"/>
  <c r="U94" i="35"/>
  <c r="H95" i="43" s="1"/>
  <c r="V94" i="35"/>
  <c r="W94" i="35"/>
  <c r="X94" i="35"/>
  <c r="I95" i="43" s="1"/>
  <c r="Y94" i="35"/>
  <c r="Z94" i="35"/>
  <c r="AA94" i="35"/>
  <c r="AB94" i="35"/>
  <c r="AC94" i="35"/>
  <c r="AD94" i="35"/>
  <c r="AE94" i="35"/>
  <c r="AF94" i="35"/>
  <c r="R95" i="35"/>
  <c r="S95" i="35"/>
  <c r="T95" i="35"/>
  <c r="U95" i="35"/>
  <c r="H96" i="43" s="1"/>
  <c r="V95" i="35"/>
  <c r="W95" i="35"/>
  <c r="X95" i="35"/>
  <c r="I96" i="43" s="1"/>
  <c r="Y95" i="35"/>
  <c r="Z95" i="35"/>
  <c r="AA95" i="35"/>
  <c r="AB95" i="35"/>
  <c r="AC95" i="35"/>
  <c r="AD95" i="35"/>
  <c r="AE95" i="35"/>
  <c r="AF95" i="35"/>
  <c r="R96" i="35"/>
  <c r="S96" i="35"/>
  <c r="T96" i="35"/>
  <c r="U96" i="35"/>
  <c r="H97" i="43" s="1"/>
  <c r="V96" i="35"/>
  <c r="W96" i="35"/>
  <c r="X96" i="35"/>
  <c r="I97" i="43" s="1"/>
  <c r="Y96" i="35"/>
  <c r="Z96" i="35"/>
  <c r="AA96" i="35"/>
  <c r="AB96" i="35"/>
  <c r="AC96" i="35"/>
  <c r="AD96" i="35"/>
  <c r="AE96" i="35"/>
  <c r="AF96" i="35"/>
  <c r="R97" i="35"/>
  <c r="S97" i="35"/>
  <c r="T97" i="35"/>
  <c r="U97" i="35"/>
  <c r="H98" i="43" s="1"/>
  <c r="V97" i="35"/>
  <c r="W97" i="35"/>
  <c r="X97" i="35"/>
  <c r="I98" i="43" s="1"/>
  <c r="Y97" i="35"/>
  <c r="Z97" i="35"/>
  <c r="AA97" i="35"/>
  <c r="AB97" i="35"/>
  <c r="AC97" i="35"/>
  <c r="AD97" i="35"/>
  <c r="AE97" i="35"/>
  <c r="AF97" i="35"/>
  <c r="R98" i="35"/>
  <c r="S98" i="35"/>
  <c r="T98" i="35"/>
  <c r="U98" i="35"/>
  <c r="H99" i="43" s="1"/>
  <c r="V98" i="35"/>
  <c r="W98" i="35"/>
  <c r="X98" i="35"/>
  <c r="I99" i="43" s="1"/>
  <c r="Y98" i="35"/>
  <c r="Z98" i="35"/>
  <c r="AA98" i="35"/>
  <c r="AB98" i="35"/>
  <c r="AC98" i="35"/>
  <c r="AD98" i="35"/>
  <c r="AE98" i="35"/>
  <c r="AF98" i="35"/>
  <c r="R99" i="35"/>
  <c r="S99" i="35"/>
  <c r="T99" i="35"/>
  <c r="U99" i="35"/>
  <c r="H100" i="43" s="1"/>
  <c r="V99" i="35"/>
  <c r="W99" i="35"/>
  <c r="X99" i="35"/>
  <c r="I100" i="43" s="1"/>
  <c r="Y99" i="35"/>
  <c r="Z99" i="35"/>
  <c r="AA99" i="35"/>
  <c r="AB99" i="35"/>
  <c r="AC99" i="35"/>
  <c r="AD99" i="35"/>
  <c r="AE99" i="35"/>
  <c r="AF99" i="35"/>
  <c r="R100" i="35"/>
  <c r="S100" i="35"/>
  <c r="T100" i="35"/>
  <c r="U100" i="35"/>
  <c r="H101" i="43" s="1"/>
  <c r="V100" i="35"/>
  <c r="W100" i="35"/>
  <c r="X100" i="35"/>
  <c r="I101" i="43" s="1"/>
  <c r="Y100" i="35"/>
  <c r="Z100" i="35"/>
  <c r="AA100" i="35"/>
  <c r="AB100" i="35"/>
  <c r="AC100" i="35"/>
  <c r="AD100" i="35"/>
  <c r="AE100" i="35"/>
  <c r="AF100" i="35"/>
  <c r="R101" i="35"/>
  <c r="S101" i="35"/>
  <c r="T101" i="35"/>
  <c r="U101" i="35"/>
  <c r="H102" i="43" s="1"/>
  <c r="V101" i="35"/>
  <c r="W101" i="35"/>
  <c r="X101" i="35"/>
  <c r="I102" i="43" s="1"/>
  <c r="Y101" i="35"/>
  <c r="Z101" i="35"/>
  <c r="AA101" i="35"/>
  <c r="AB101" i="35"/>
  <c r="AC101" i="35"/>
  <c r="AD101" i="35"/>
  <c r="AE101" i="35"/>
  <c r="AF101" i="35"/>
  <c r="R102" i="35"/>
  <c r="S102" i="35"/>
  <c r="T102" i="35"/>
  <c r="U102" i="35"/>
  <c r="H103" i="43" s="1"/>
  <c r="V102" i="35"/>
  <c r="W102" i="35"/>
  <c r="X102" i="35"/>
  <c r="I103" i="43" s="1"/>
  <c r="Y102" i="35"/>
  <c r="Z102" i="35"/>
  <c r="AA102" i="35"/>
  <c r="AB102" i="35"/>
  <c r="AC102" i="35"/>
  <c r="AD102" i="35"/>
  <c r="AE102" i="35"/>
  <c r="AF102" i="35"/>
  <c r="R103" i="35"/>
  <c r="S103" i="35"/>
  <c r="T103" i="35"/>
  <c r="U103" i="35"/>
  <c r="H104" i="43" s="1"/>
  <c r="V103" i="35"/>
  <c r="W103" i="35"/>
  <c r="X103" i="35"/>
  <c r="I104" i="43" s="1"/>
  <c r="Y103" i="35"/>
  <c r="Z103" i="35"/>
  <c r="AA103" i="35"/>
  <c r="AB103" i="35"/>
  <c r="AC103" i="35"/>
  <c r="AD103" i="35"/>
  <c r="AE103" i="35"/>
  <c r="AF103" i="35"/>
  <c r="R104" i="35"/>
  <c r="S104" i="35"/>
  <c r="T104" i="35"/>
  <c r="U104" i="35"/>
  <c r="H105" i="43" s="1"/>
  <c r="V104" i="35"/>
  <c r="W104" i="35"/>
  <c r="X104" i="35"/>
  <c r="I105" i="43" s="1"/>
  <c r="Y104" i="35"/>
  <c r="Z104" i="35"/>
  <c r="AA104" i="35"/>
  <c r="AB104" i="35"/>
  <c r="AC104" i="35"/>
  <c r="AD104" i="35"/>
  <c r="AE104" i="35"/>
  <c r="AF104" i="35"/>
  <c r="R105" i="35"/>
  <c r="S105" i="35"/>
  <c r="T105" i="35"/>
  <c r="U105" i="35"/>
  <c r="H106" i="43" s="1"/>
  <c r="V105" i="35"/>
  <c r="W105" i="35"/>
  <c r="X105" i="35"/>
  <c r="I106" i="43" s="1"/>
  <c r="Y105" i="35"/>
  <c r="Z105" i="35"/>
  <c r="AA105" i="35"/>
  <c r="AB105" i="35"/>
  <c r="AC105" i="35"/>
  <c r="AD105" i="35"/>
  <c r="AE105" i="35"/>
  <c r="AF105" i="35"/>
  <c r="R106" i="35"/>
  <c r="S106" i="35"/>
  <c r="T106" i="35"/>
  <c r="U106" i="35"/>
  <c r="H107" i="43" s="1"/>
  <c r="V106" i="35"/>
  <c r="W106" i="35"/>
  <c r="X106" i="35"/>
  <c r="I107" i="43" s="1"/>
  <c r="Y106" i="35"/>
  <c r="Z106" i="35"/>
  <c r="AA106" i="35"/>
  <c r="AB106" i="35"/>
  <c r="AC106" i="35"/>
  <c r="AD106" i="35"/>
  <c r="AE106" i="35"/>
  <c r="AF106" i="35"/>
  <c r="R107" i="35"/>
  <c r="S107" i="35"/>
  <c r="T107" i="35"/>
  <c r="U107" i="35"/>
  <c r="H108" i="43" s="1"/>
  <c r="V107" i="35"/>
  <c r="W107" i="35"/>
  <c r="X107" i="35"/>
  <c r="I108" i="43" s="1"/>
  <c r="Y107" i="35"/>
  <c r="Z107" i="35"/>
  <c r="AA107" i="35"/>
  <c r="AB107" i="35"/>
  <c r="AC107" i="35"/>
  <c r="AD107" i="35"/>
  <c r="AE107" i="35"/>
  <c r="AF107" i="35"/>
  <c r="R108" i="35"/>
  <c r="S108" i="35"/>
  <c r="T108" i="35"/>
  <c r="U108" i="35"/>
  <c r="H109" i="43" s="1"/>
  <c r="V108" i="35"/>
  <c r="W108" i="35"/>
  <c r="X108" i="35"/>
  <c r="I109" i="43" s="1"/>
  <c r="Y108" i="35"/>
  <c r="Z108" i="35"/>
  <c r="AA108" i="35"/>
  <c r="AB108" i="35"/>
  <c r="AC108" i="35"/>
  <c r="AD108" i="35"/>
  <c r="AE108" i="35"/>
  <c r="AF108" i="35"/>
  <c r="R109" i="35"/>
  <c r="S109" i="35"/>
  <c r="T109" i="35"/>
  <c r="U109" i="35"/>
  <c r="H110" i="43" s="1"/>
  <c r="V109" i="35"/>
  <c r="W109" i="35"/>
  <c r="X109" i="35"/>
  <c r="I110" i="43" s="1"/>
  <c r="Y109" i="35"/>
  <c r="Z109" i="35"/>
  <c r="AA109" i="35"/>
  <c r="AB109" i="35"/>
  <c r="AC109" i="35"/>
  <c r="AD109" i="35"/>
  <c r="AE109" i="35"/>
  <c r="AF109" i="35"/>
  <c r="R110" i="35"/>
  <c r="S110" i="35"/>
  <c r="T110" i="35"/>
  <c r="U110" i="35"/>
  <c r="H111" i="43" s="1"/>
  <c r="V110" i="35"/>
  <c r="W110" i="35"/>
  <c r="X110" i="35"/>
  <c r="I111" i="43" s="1"/>
  <c r="Y110" i="35"/>
  <c r="Z110" i="35"/>
  <c r="AA110" i="35"/>
  <c r="AB110" i="35"/>
  <c r="AC110" i="35"/>
  <c r="AD110" i="35"/>
  <c r="AE110" i="35"/>
  <c r="AF110" i="35"/>
  <c r="R111" i="35"/>
  <c r="S111" i="35"/>
  <c r="T111" i="35"/>
  <c r="U111" i="35"/>
  <c r="H112" i="43" s="1"/>
  <c r="V111" i="35"/>
  <c r="W111" i="35"/>
  <c r="X111" i="35"/>
  <c r="I112" i="43" s="1"/>
  <c r="Y111" i="35"/>
  <c r="Z111" i="35"/>
  <c r="AA111" i="35"/>
  <c r="AB111" i="35"/>
  <c r="AC111" i="35"/>
  <c r="AD111" i="35"/>
  <c r="AE111" i="35"/>
  <c r="AF111" i="35"/>
  <c r="R112" i="35"/>
  <c r="S112" i="35"/>
  <c r="T112" i="35"/>
  <c r="U112" i="35"/>
  <c r="H113" i="43" s="1"/>
  <c r="V112" i="35"/>
  <c r="W112" i="35"/>
  <c r="X112" i="35"/>
  <c r="I113" i="43" s="1"/>
  <c r="Y112" i="35"/>
  <c r="Z112" i="35"/>
  <c r="AA112" i="35"/>
  <c r="AB112" i="35"/>
  <c r="AC112" i="35"/>
  <c r="AD112" i="35"/>
  <c r="AE112" i="35"/>
  <c r="AF112" i="35"/>
  <c r="R113" i="35"/>
  <c r="S113" i="35"/>
  <c r="T113" i="35"/>
  <c r="U113" i="35"/>
  <c r="H114" i="43" s="1"/>
  <c r="V113" i="35"/>
  <c r="W113" i="35"/>
  <c r="X113" i="35"/>
  <c r="I114" i="43" s="1"/>
  <c r="Y113" i="35"/>
  <c r="Z113" i="35"/>
  <c r="AA113" i="35"/>
  <c r="AB113" i="35"/>
  <c r="AC113" i="35"/>
  <c r="AD113" i="35"/>
  <c r="AE113" i="35"/>
  <c r="AF113" i="35"/>
  <c r="R114" i="35"/>
  <c r="S114" i="35"/>
  <c r="T114" i="35"/>
  <c r="U114" i="35"/>
  <c r="H115" i="43" s="1"/>
  <c r="V114" i="35"/>
  <c r="W114" i="35"/>
  <c r="X114" i="35"/>
  <c r="I115" i="43" s="1"/>
  <c r="Y114" i="35"/>
  <c r="Z114" i="35"/>
  <c r="AA114" i="35"/>
  <c r="AB114" i="35"/>
  <c r="AC114" i="35"/>
  <c r="AD114" i="35"/>
  <c r="AE114" i="35"/>
  <c r="AF114" i="35"/>
  <c r="R115" i="35"/>
  <c r="S115" i="35"/>
  <c r="T115" i="35"/>
  <c r="U115" i="35"/>
  <c r="H116" i="43" s="1"/>
  <c r="V115" i="35"/>
  <c r="W115" i="35"/>
  <c r="X115" i="35"/>
  <c r="I116" i="43" s="1"/>
  <c r="Y115" i="35"/>
  <c r="Z115" i="35"/>
  <c r="AA115" i="35"/>
  <c r="AB115" i="35"/>
  <c r="AC115" i="35"/>
  <c r="AD115" i="35"/>
  <c r="AE115" i="35"/>
  <c r="AF115" i="35"/>
  <c r="R116" i="35"/>
  <c r="S116" i="35"/>
  <c r="T116" i="35"/>
  <c r="U116" i="35"/>
  <c r="H117" i="43" s="1"/>
  <c r="V116" i="35"/>
  <c r="W116" i="35"/>
  <c r="X116" i="35"/>
  <c r="I117" i="43" s="1"/>
  <c r="Y116" i="35"/>
  <c r="Z116" i="35"/>
  <c r="AA116" i="35"/>
  <c r="AB116" i="35"/>
  <c r="AC116" i="35"/>
  <c r="AD116" i="35"/>
  <c r="AE116" i="35"/>
  <c r="AF116" i="35"/>
  <c r="R117" i="35"/>
  <c r="S117" i="35"/>
  <c r="T117" i="35"/>
  <c r="U117" i="35"/>
  <c r="H118" i="43" s="1"/>
  <c r="V117" i="35"/>
  <c r="W117" i="35"/>
  <c r="X117" i="35"/>
  <c r="I118" i="43" s="1"/>
  <c r="Y117" i="35"/>
  <c r="Z117" i="35"/>
  <c r="AA117" i="35"/>
  <c r="AB117" i="35"/>
  <c r="AC117" i="35"/>
  <c r="AD117" i="35"/>
  <c r="AE117" i="35"/>
  <c r="AF117" i="35"/>
  <c r="R118" i="35"/>
  <c r="S118" i="35"/>
  <c r="T118" i="35"/>
  <c r="U118" i="35"/>
  <c r="H119" i="43" s="1"/>
  <c r="V118" i="35"/>
  <c r="W118" i="35"/>
  <c r="X118" i="35"/>
  <c r="I119" i="43" s="1"/>
  <c r="Y118" i="35"/>
  <c r="Z118" i="35"/>
  <c r="AA118" i="35"/>
  <c r="AB118" i="35"/>
  <c r="AC118" i="35"/>
  <c r="AD118" i="35"/>
  <c r="AE118" i="35"/>
  <c r="AF118" i="35"/>
  <c r="R119" i="35"/>
  <c r="S119" i="35"/>
  <c r="T119" i="35"/>
  <c r="U119" i="35"/>
  <c r="H120" i="43" s="1"/>
  <c r="V119" i="35"/>
  <c r="W119" i="35"/>
  <c r="X119" i="35"/>
  <c r="I120" i="43" s="1"/>
  <c r="Y119" i="35"/>
  <c r="Z119" i="35"/>
  <c r="AA119" i="35"/>
  <c r="AB119" i="35"/>
  <c r="AC119" i="35"/>
  <c r="AD119" i="35"/>
  <c r="AE119" i="35"/>
  <c r="AF119" i="35"/>
  <c r="R120" i="35"/>
  <c r="S120" i="35"/>
  <c r="T120" i="35"/>
  <c r="U120" i="35"/>
  <c r="H121" i="43" s="1"/>
  <c r="V120" i="35"/>
  <c r="W120" i="35"/>
  <c r="X120" i="35"/>
  <c r="I121" i="43" s="1"/>
  <c r="Y120" i="35"/>
  <c r="Z120" i="35"/>
  <c r="AA120" i="35"/>
  <c r="AB120" i="35"/>
  <c r="AC120" i="35"/>
  <c r="AD120" i="35"/>
  <c r="AE120" i="35"/>
  <c r="AF120" i="35"/>
  <c r="R121" i="35"/>
  <c r="S121" i="35"/>
  <c r="T121" i="35"/>
  <c r="U121" i="35"/>
  <c r="H122" i="43" s="1"/>
  <c r="V121" i="35"/>
  <c r="W121" i="35"/>
  <c r="X121" i="35"/>
  <c r="I122" i="43" s="1"/>
  <c r="Y121" i="35"/>
  <c r="Z121" i="35"/>
  <c r="AA121" i="35"/>
  <c r="AB121" i="35"/>
  <c r="AC121" i="35"/>
  <c r="AD121" i="35"/>
  <c r="AE121" i="35"/>
  <c r="AF121" i="35"/>
  <c r="S2" i="35"/>
  <c r="T2" i="35"/>
  <c r="U2" i="35"/>
  <c r="H3" i="43" s="1"/>
  <c r="V2" i="35"/>
  <c r="W2" i="35"/>
  <c r="X2" i="35"/>
  <c r="I3" i="43" s="1"/>
  <c r="Y2" i="35"/>
  <c r="Z2" i="35"/>
  <c r="AA2" i="35"/>
  <c r="AB2" i="35"/>
  <c r="AC2" i="35"/>
  <c r="AD2" i="35"/>
  <c r="AE2" i="35"/>
  <c r="AF2" i="35"/>
  <c r="R2" i="35"/>
  <c r="S1" i="35"/>
  <c r="T1" i="35"/>
  <c r="U1" i="35"/>
  <c r="H2" i="43" s="1"/>
  <c r="V1" i="35"/>
  <c r="W1" i="35"/>
  <c r="X1" i="35"/>
  <c r="I2" i="43" s="1"/>
  <c r="Y1" i="35"/>
  <c r="Z1" i="35"/>
  <c r="AA1" i="35"/>
  <c r="AB1" i="35"/>
  <c r="AC1" i="35"/>
  <c r="AD1" i="35"/>
  <c r="AE1" i="35"/>
  <c r="AF1" i="35"/>
  <c r="R1" i="35"/>
  <c r="I33" i="17"/>
  <c r="I34" i="17"/>
  <c r="I35" i="17"/>
  <c r="I36" i="17"/>
  <c r="I37" i="17"/>
  <c r="I38" i="17"/>
  <c r="I39" i="17"/>
  <c r="I40" i="17"/>
  <c r="I41" i="17"/>
  <c r="I42" i="17"/>
  <c r="I32" i="17"/>
  <c r="E3" i="35"/>
  <c r="E4" i="35"/>
  <c r="E5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2" i="35"/>
  <c r="D3" i="35"/>
  <c r="D4" i="35"/>
  <c r="D5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D110" i="35"/>
  <c r="D111" i="35"/>
  <c r="D112" i="35"/>
  <c r="D113" i="35"/>
  <c r="D114" i="35"/>
  <c r="D115" i="35"/>
  <c r="D116" i="35"/>
  <c r="D117" i="35"/>
  <c r="D118" i="35"/>
  <c r="D119" i="35"/>
  <c r="D120" i="35"/>
  <c r="D121" i="35"/>
  <c r="D2" i="35"/>
  <c r="R126" i="34"/>
  <c r="R127" i="34"/>
  <c r="R128" i="34"/>
  <c r="R129" i="34"/>
  <c r="R130" i="34"/>
  <c r="R131" i="34"/>
  <c r="R132" i="34"/>
  <c r="R133" i="34"/>
  <c r="R134" i="34"/>
  <c r="R135" i="34"/>
  <c r="R136" i="34"/>
  <c r="R137" i="34"/>
  <c r="R138" i="34"/>
  <c r="R139" i="34"/>
  <c r="R140" i="34"/>
  <c r="R141" i="34"/>
  <c r="R142" i="34"/>
  <c r="R143" i="34"/>
  <c r="R144" i="34"/>
  <c r="R145" i="34"/>
  <c r="R146" i="34"/>
  <c r="R147" i="34"/>
  <c r="R148" i="34"/>
  <c r="R149" i="34"/>
  <c r="R150" i="34"/>
  <c r="R151" i="34"/>
  <c r="R152" i="34"/>
  <c r="R153" i="34"/>
  <c r="R154" i="34"/>
  <c r="R155" i="34"/>
  <c r="R156" i="34"/>
  <c r="R157" i="34"/>
  <c r="R158" i="34"/>
  <c r="R159" i="34"/>
  <c r="R160" i="34"/>
  <c r="R161" i="34"/>
  <c r="R162" i="34"/>
  <c r="R163" i="34"/>
  <c r="R164" i="34"/>
  <c r="R165" i="34"/>
  <c r="R166" i="34"/>
  <c r="R167" i="34"/>
  <c r="R168" i="34"/>
  <c r="R169" i="34"/>
  <c r="R170" i="34"/>
  <c r="R171" i="34"/>
  <c r="R172" i="34"/>
  <c r="R173" i="34"/>
  <c r="R174" i="34"/>
  <c r="R175" i="34"/>
  <c r="R176" i="34"/>
  <c r="R177" i="34"/>
  <c r="R178" i="34"/>
  <c r="R179" i="34"/>
  <c r="R180" i="34"/>
  <c r="R181" i="34"/>
  <c r="R182" i="34"/>
  <c r="R183" i="34"/>
  <c r="R184" i="34"/>
  <c r="R185" i="34"/>
  <c r="R186" i="34"/>
  <c r="R187" i="34"/>
  <c r="R188" i="34"/>
  <c r="R189" i="34"/>
  <c r="R190" i="34"/>
  <c r="R191" i="34"/>
  <c r="R192" i="34"/>
  <c r="R193" i="34"/>
  <c r="R194" i="34"/>
  <c r="R195" i="34"/>
  <c r="R196" i="34"/>
  <c r="R197" i="34"/>
  <c r="R198" i="34"/>
  <c r="R199" i="34"/>
  <c r="R200" i="34"/>
  <c r="R201" i="34"/>
  <c r="R202" i="34"/>
  <c r="R203" i="34"/>
  <c r="R204" i="34"/>
  <c r="R205" i="34"/>
  <c r="R206" i="34"/>
  <c r="R207" i="34"/>
  <c r="R208" i="34"/>
  <c r="R209" i="34"/>
  <c r="R210" i="34"/>
  <c r="R211" i="34"/>
  <c r="R212" i="34"/>
  <c r="R213" i="34"/>
  <c r="R214" i="34"/>
  <c r="R215" i="34"/>
  <c r="R216" i="34"/>
  <c r="R217" i="34"/>
  <c r="R218" i="34"/>
  <c r="R219" i="34"/>
  <c r="R220" i="34"/>
  <c r="R221" i="34"/>
  <c r="R222" i="34"/>
  <c r="R223" i="34"/>
  <c r="R224" i="34"/>
  <c r="R225" i="34"/>
  <c r="R226" i="34"/>
  <c r="R227" i="34"/>
  <c r="R228" i="34"/>
  <c r="R229" i="34"/>
  <c r="R230" i="34"/>
  <c r="R231" i="34"/>
  <c r="R232" i="34"/>
  <c r="R233" i="34"/>
  <c r="R234" i="34"/>
  <c r="R235" i="34"/>
  <c r="R236" i="34"/>
  <c r="R237" i="34"/>
  <c r="R238" i="34"/>
  <c r="R239" i="34"/>
  <c r="R240" i="34"/>
  <c r="R241" i="34"/>
  <c r="R121" i="34"/>
  <c r="R122" i="34"/>
  <c r="R123" i="34"/>
  <c r="R124" i="34"/>
  <c r="R125" i="34"/>
  <c r="R63" i="34"/>
  <c r="R64" i="34"/>
  <c r="R65" i="34"/>
  <c r="R66" i="34"/>
  <c r="R67" i="34"/>
  <c r="R68" i="34"/>
  <c r="R69" i="34"/>
  <c r="R70" i="34"/>
  <c r="R71" i="34"/>
  <c r="R72" i="34"/>
  <c r="R73" i="34"/>
  <c r="R74" i="34"/>
  <c r="R75" i="34"/>
  <c r="R76" i="34"/>
  <c r="R77" i="34"/>
  <c r="R78" i="34"/>
  <c r="R79" i="34"/>
  <c r="R80" i="34"/>
  <c r="R81" i="34"/>
  <c r="R82" i="34"/>
  <c r="R83" i="34"/>
  <c r="R84" i="34"/>
  <c r="R85" i="34"/>
  <c r="R86" i="34"/>
  <c r="R87" i="34"/>
  <c r="R88" i="34"/>
  <c r="R89" i="34"/>
  <c r="R90" i="34"/>
  <c r="R91" i="34"/>
  <c r="R92" i="34"/>
  <c r="R93" i="34"/>
  <c r="R94" i="34"/>
  <c r="R95" i="34"/>
  <c r="R96" i="34"/>
  <c r="R97" i="34"/>
  <c r="R98" i="34"/>
  <c r="R99" i="34"/>
  <c r="R100" i="34"/>
  <c r="R101" i="34"/>
  <c r="R102" i="34"/>
  <c r="R103" i="34"/>
  <c r="R104" i="34"/>
  <c r="R105" i="34"/>
  <c r="R106" i="34"/>
  <c r="R107" i="34"/>
  <c r="R108" i="34"/>
  <c r="R109" i="34"/>
  <c r="R110" i="34"/>
  <c r="R111" i="34"/>
  <c r="R112" i="34"/>
  <c r="R113" i="34"/>
  <c r="R114" i="34"/>
  <c r="R115" i="34"/>
  <c r="R116" i="34"/>
  <c r="R117" i="34"/>
  <c r="R118" i="34"/>
  <c r="R119" i="34"/>
  <c r="R120" i="34"/>
  <c r="R62" i="34"/>
  <c r="DC33" i="34"/>
  <c r="DD33" i="34"/>
  <c r="DE33" i="34"/>
  <c r="DF33" i="34"/>
  <c r="DG33" i="34"/>
  <c r="DH33" i="34"/>
  <c r="DI33" i="34"/>
  <c r="DJ33" i="34"/>
  <c r="DK33" i="34"/>
  <c r="DL33" i="34"/>
  <c r="DM33" i="34"/>
  <c r="DN33" i="34"/>
  <c r="DC34" i="34"/>
  <c r="DD34" i="34"/>
  <c r="DE34" i="34"/>
  <c r="DF34" i="34"/>
  <c r="DG34" i="34"/>
  <c r="DH34" i="34"/>
  <c r="DI34" i="34"/>
  <c r="DJ34" i="34"/>
  <c r="DK34" i="34"/>
  <c r="DL34" i="34"/>
  <c r="DM34" i="34"/>
  <c r="DN34" i="34"/>
  <c r="DC35" i="34"/>
  <c r="DD35" i="34"/>
  <c r="DE35" i="34"/>
  <c r="DF35" i="34"/>
  <c r="DG35" i="34"/>
  <c r="DH35" i="34"/>
  <c r="DI35" i="34"/>
  <c r="DJ35" i="34"/>
  <c r="DK35" i="34"/>
  <c r="DL35" i="34"/>
  <c r="DM35" i="34"/>
  <c r="DN35" i="34"/>
  <c r="DC36" i="34"/>
  <c r="DD36" i="34"/>
  <c r="DE36" i="34"/>
  <c r="DF36" i="34"/>
  <c r="DG36" i="34"/>
  <c r="DH36" i="34"/>
  <c r="DI36" i="34"/>
  <c r="DJ36" i="34"/>
  <c r="DK36" i="34"/>
  <c r="DL36" i="34"/>
  <c r="DM36" i="34"/>
  <c r="DN36" i="34"/>
  <c r="DC37" i="34"/>
  <c r="DD37" i="34"/>
  <c r="DE37" i="34"/>
  <c r="DF37" i="34"/>
  <c r="DG37" i="34"/>
  <c r="DH37" i="34"/>
  <c r="DI37" i="34"/>
  <c r="DJ37" i="34"/>
  <c r="DK37" i="34"/>
  <c r="DL37" i="34"/>
  <c r="DM37" i="34"/>
  <c r="DN37" i="34"/>
  <c r="DC38" i="34"/>
  <c r="DD38" i="34"/>
  <c r="DE38" i="34"/>
  <c r="DF38" i="34"/>
  <c r="DG38" i="34"/>
  <c r="DH38" i="34"/>
  <c r="DI38" i="34"/>
  <c r="DJ38" i="34"/>
  <c r="DK38" i="34"/>
  <c r="DL38" i="34"/>
  <c r="DM38" i="34"/>
  <c r="DN38" i="34"/>
  <c r="DC39" i="34"/>
  <c r="DD39" i="34"/>
  <c r="DE39" i="34"/>
  <c r="DF39" i="34"/>
  <c r="DG39" i="34"/>
  <c r="DH39" i="34"/>
  <c r="DI39" i="34"/>
  <c r="DJ39" i="34"/>
  <c r="DK39" i="34"/>
  <c r="DL39" i="34"/>
  <c r="DM39" i="34"/>
  <c r="DN39" i="34"/>
  <c r="DC40" i="34"/>
  <c r="DD40" i="34"/>
  <c r="DE40" i="34"/>
  <c r="DF40" i="34"/>
  <c r="DG40" i="34"/>
  <c r="DH40" i="34"/>
  <c r="DI40" i="34"/>
  <c r="DJ40" i="34"/>
  <c r="DK40" i="34"/>
  <c r="DL40" i="34"/>
  <c r="DM40" i="34"/>
  <c r="DN40" i="34"/>
  <c r="DC41" i="34"/>
  <c r="DD41" i="34"/>
  <c r="DE41" i="34"/>
  <c r="DF41" i="34"/>
  <c r="DG41" i="34"/>
  <c r="DH41" i="34"/>
  <c r="DI41" i="34"/>
  <c r="DJ41" i="34"/>
  <c r="DK41" i="34"/>
  <c r="DL41" i="34"/>
  <c r="DM41" i="34"/>
  <c r="DN41" i="34"/>
  <c r="DC42" i="34"/>
  <c r="DD42" i="34"/>
  <c r="DE42" i="34"/>
  <c r="DF42" i="34"/>
  <c r="DG42" i="34"/>
  <c r="DH42" i="34"/>
  <c r="DI42" i="34"/>
  <c r="DJ42" i="34"/>
  <c r="DK42" i="34"/>
  <c r="DL42" i="34"/>
  <c r="DM42" i="34"/>
  <c r="DN42" i="34"/>
  <c r="DC43" i="34"/>
  <c r="DD43" i="34"/>
  <c r="DE43" i="34"/>
  <c r="DF43" i="34"/>
  <c r="DG43" i="34"/>
  <c r="DH43" i="34"/>
  <c r="DI43" i="34"/>
  <c r="DJ43" i="34"/>
  <c r="DK43" i="34"/>
  <c r="DL43" i="34"/>
  <c r="DM43" i="34"/>
  <c r="DN43" i="34"/>
  <c r="DC44" i="34"/>
  <c r="DD44" i="34"/>
  <c r="DE44" i="34"/>
  <c r="DF44" i="34"/>
  <c r="DG44" i="34"/>
  <c r="DH44" i="34"/>
  <c r="DI44" i="34"/>
  <c r="DJ44" i="34"/>
  <c r="DK44" i="34"/>
  <c r="DL44" i="34"/>
  <c r="DM44" i="34"/>
  <c r="DN44" i="34"/>
  <c r="DC45" i="34"/>
  <c r="DD45" i="34"/>
  <c r="DE45" i="34"/>
  <c r="DF45" i="34"/>
  <c r="DG45" i="34"/>
  <c r="DH45" i="34"/>
  <c r="DI45" i="34"/>
  <c r="DJ45" i="34"/>
  <c r="DK45" i="34"/>
  <c r="DL45" i="34"/>
  <c r="DM45" i="34"/>
  <c r="DN45" i="34"/>
  <c r="DC46" i="34"/>
  <c r="DD46" i="34"/>
  <c r="DE46" i="34"/>
  <c r="DF46" i="34"/>
  <c r="DG46" i="34"/>
  <c r="DH46" i="34"/>
  <c r="DI46" i="34"/>
  <c r="DJ46" i="34"/>
  <c r="DK46" i="34"/>
  <c r="DL46" i="34"/>
  <c r="DM46" i="34"/>
  <c r="DN46" i="34"/>
  <c r="DC47" i="34"/>
  <c r="DD47" i="34"/>
  <c r="DE47" i="34"/>
  <c r="DF47" i="34"/>
  <c r="DG47" i="34"/>
  <c r="DH47" i="34"/>
  <c r="DI47" i="34"/>
  <c r="DJ47" i="34"/>
  <c r="DK47" i="34"/>
  <c r="DL47" i="34"/>
  <c r="DM47" i="34"/>
  <c r="DN47" i="34"/>
  <c r="DC48" i="34"/>
  <c r="DD48" i="34"/>
  <c r="DE48" i="34"/>
  <c r="DF48" i="34"/>
  <c r="DG48" i="34"/>
  <c r="DH48" i="34"/>
  <c r="DI48" i="34"/>
  <c r="DJ48" i="34"/>
  <c r="DK48" i="34"/>
  <c r="DL48" i="34"/>
  <c r="DM48" i="34"/>
  <c r="DN48" i="34"/>
  <c r="DC49" i="34"/>
  <c r="DD49" i="34"/>
  <c r="DE49" i="34"/>
  <c r="DF49" i="34"/>
  <c r="DG49" i="34"/>
  <c r="DH49" i="34"/>
  <c r="DI49" i="34"/>
  <c r="DJ49" i="34"/>
  <c r="DK49" i="34"/>
  <c r="DL49" i="34"/>
  <c r="DM49" i="34"/>
  <c r="DN49" i="34"/>
  <c r="DC50" i="34"/>
  <c r="DD50" i="34"/>
  <c r="DE50" i="34"/>
  <c r="DF50" i="34"/>
  <c r="DG50" i="34"/>
  <c r="DH50" i="34"/>
  <c r="DI50" i="34"/>
  <c r="DJ50" i="34"/>
  <c r="DK50" i="34"/>
  <c r="DL50" i="34"/>
  <c r="DM50" i="34"/>
  <c r="DN50" i="34"/>
  <c r="DC51" i="34"/>
  <c r="DD51" i="34"/>
  <c r="DE51" i="34"/>
  <c r="DF51" i="34"/>
  <c r="DG51" i="34"/>
  <c r="DH51" i="34"/>
  <c r="DI51" i="34"/>
  <c r="DJ51" i="34"/>
  <c r="DK51" i="34"/>
  <c r="DL51" i="34"/>
  <c r="DM51" i="34"/>
  <c r="DN51" i="34"/>
  <c r="DD32" i="34"/>
  <c r="DE32" i="34"/>
  <c r="DF32" i="34"/>
  <c r="DG32" i="34"/>
  <c r="DH32" i="34"/>
  <c r="DI32" i="34"/>
  <c r="DJ32" i="34"/>
  <c r="DK32" i="34"/>
  <c r="DL32" i="34"/>
  <c r="DM32" i="34"/>
  <c r="DN32" i="34"/>
  <c r="DC32" i="34"/>
  <c r="DD5" i="34"/>
  <c r="DE5" i="34"/>
  <c r="DF5" i="34"/>
  <c r="DG5" i="34"/>
  <c r="DH5" i="34"/>
  <c r="DI5" i="34"/>
  <c r="DJ5" i="34"/>
  <c r="DK5" i="34"/>
  <c r="DL5" i="34"/>
  <c r="DM5" i="34"/>
  <c r="DN5" i="34"/>
  <c r="DD6" i="34"/>
  <c r="DE6" i="34"/>
  <c r="DF6" i="34"/>
  <c r="DG6" i="34"/>
  <c r="DH6" i="34"/>
  <c r="DI6" i="34"/>
  <c r="DJ6" i="34"/>
  <c r="DK6" i="34"/>
  <c r="DL6" i="34"/>
  <c r="DM6" i="34"/>
  <c r="DN6" i="34"/>
  <c r="DD7" i="34"/>
  <c r="DE7" i="34"/>
  <c r="DF7" i="34"/>
  <c r="DG7" i="34"/>
  <c r="DH7" i="34"/>
  <c r="DI7" i="34"/>
  <c r="DJ7" i="34"/>
  <c r="DK7" i="34"/>
  <c r="DL7" i="34"/>
  <c r="DM7" i="34"/>
  <c r="DN7" i="34"/>
  <c r="DD8" i="34"/>
  <c r="DE8" i="34"/>
  <c r="DF8" i="34"/>
  <c r="DG8" i="34"/>
  <c r="DH8" i="34"/>
  <c r="DI8" i="34"/>
  <c r="DJ8" i="34"/>
  <c r="DK8" i="34"/>
  <c r="DL8" i="34"/>
  <c r="DM8" i="34"/>
  <c r="DN8" i="34"/>
  <c r="DD9" i="34"/>
  <c r="DE9" i="34"/>
  <c r="DF9" i="34"/>
  <c r="DG9" i="34"/>
  <c r="DH9" i="34"/>
  <c r="DI9" i="34"/>
  <c r="DJ9" i="34"/>
  <c r="DK9" i="34"/>
  <c r="DL9" i="34"/>
  <c r="DM9" i="34"/>
  <c r="DN9" i="34"/>
  <c r="DD10" i="34"/>
  <c r="DE10" i="34"/>
  <c r="DF10" i="34"/>
  <c r="DG10" i="34"/>
  <c r="DH10" i="34"/>
  <c r="DI10" i="34"/>
  <c r="DJ10" i="34"/>
  <c r="DK10" i="34"/>
  <c r="DL10" i="34"/>
  <c r="DM10" i="34"/>
  <c r="DN10" i="34"/>
  <c r="DD11" i="34"/>
  <c r="DE11" i="34"/>
  <c r="DF11" i="34"/>
  <c r="DG11" i="34"/>
  <c r="DH11" i="34"/>
  <c r="DI11" i="34"/>
  <c r="DJ11" i="34"/>
  <c r="DK11" i="34"/>
  <c r="DL11" i="34"/>
  <c r="DM11" i="34"/>
  <c r="DN11" i="34"/>
  <c r="DD12" i="34"/>
  <c r="DE12" i="34"/>
  <c r="DF12" i="34"/>
  <c r="DG12" i="34"/>
  <c r="DH12" i="34"/>
  <c r="DI12" i="34"/>
  <c r="DJ12" i="34"/>
  <c r="DK12" i="34"/>
  <c r="DL12" i="34"/>
  <c r="DM12" i="34"/>
  <c r="DN12" i="34"/>
  <c r="DD13" i="34"/>
  <c r="DE13" i="34"/>
  <c r="DF13" i="34"/>
  <c r="DG13" i="34"/>
  <c r="DH13" i="34"/>
  <c r="DI13" i="34"/>
  <c r="DJ13" i="34"/>
  <c r="DK13" i="34"/>
  <c r="DL13" i="34"/>
  <c r="DM13" i="34"/>
  <c r="DN13" i="34"/>
  <c r="DD14" i="34"/>
  <c r="DE14" i="34"/>
  <c r="DF14" i="34"/>
  <c r="DG14" i="34"/>
  <c r="DH14" i="34"/>
  <c r="DI14" i="34"/>
  <c r="DJ14" i="34"/>
  <c r="DK14" i="34"/>
  <c r="DL14" i="34"/>
  <c r="DM14" i="34"/>
  <c r="DN14" i="34"/>
  <c r="DD15" i="34"/>
  <c r="DE15" i="34"/>
  <c r="DF15" i="34"/>
  <c r="DG15" i="34"/>
  <c r="DH15" i="34"/>
  <c r="DI15" i="34"/>
  <c r="DJ15" i="34"/>
  <c r="DK15" i="34"/>
  <c r="DL15" i="34"/>
  <c r="DM15" i="34"/>
  <c r="DN15" i="34"/>
  <c r="DD16" i="34"/>
  <c r="DE16" i="34"/>
  <c r="DF16" i="34"/>
  <c r="DG16" i="34"/>
  <c r="DH16" i="34"/>
  <c r="DI16" i="34"/>
  <c r="DJ16" i="34"/>
  <c r="DK16" i="34"/>
  <c r="DL16" i="34"/>
  <c r="DM16" i="34"/>
  <c r="DN16" i="34"/>
  <c r="DD17" i="34"/>
  <c r="DE17" i="34"/>
  <c r="DF17" i="34"/>
  <c r="DG17" i="34"/>
  <c r="DH17" i="34"/>
  <c r="DI17" i="34"/>
  <c r="DJ17" i="34"/>
  <c r="DK17" i="34"/>
  <c r="DL17" i="34"/>
  <c r="DM17" i="34"/>
  <c r="DN17" i="34"/>
  <c r="DD18" i="34"/>
  <c r="DE18" i="34"/>
  <c r="DF18" i="34"/>
  <c r="DG18" i="34"/>
  <c r="DH18" i="34"/>
  <c r="DI18" i="34"/>
  <c r="DJ18" i="34"/>
  <c r="DK18" i="34"/>
  <c r="DL18" i="34"/>
  <c r="DM18" i="34"/>
  <c r="DN18" i="34"/>
  <c r="DD19" i="34"/>
  <c r="DE19" i="34"/>
  <c r="DF19" i="34"/>
  <c r="DG19" i="34"/>
  <c r="DH19" i="34"/>
  <c r="DI19" i="34"/>
  <c r="DJ19" i="34"/>
  <c r="DK19" i="34"/>
  <c r="DL19" i="34"/>
  <c r="DM19" i="34"/>
  <c r="DN19" i="34"/>
  <c r="DD20" i="34"/>
  <c r="DE20" i="34"/>
  <c r="DF20" i="34"/>
  <c r="DG20" i="34"/>
  <c r="DH20" i="34"/>
  <c r="DI20" i="34"/>
  <c r="DJ20" i="34"/>
  <c r="DK20" i="34"/>
  <c r="DL20" i="34"/>
  <c r="DM20" i="34"/>
  <c r="DN20" i="34"/>
  <c r="DD21" i="34"/>
  <c r="DE21" i="34"/>
  <c r="DF21" i="34"/>
  <c r="DG21" i="34"/>
  <c r="DH21" i="34"/>
  <c r="DI21" i="34"/>
  <c r="DJ21" i="34"/>
  <c r="DK21" i="34"/>
  <c r="DL21" i="34"/>
  <c r="DM21" i="34"/>
  <c r="DN21" i="34"/>
  <c r="DD22" i="34"/>
  <c r="DE22" i="34"/>
  <c r="DF22" i="34"/>
  <c r="DG22" i="34"/>
  <c r="DH22" i="34"/>
  <c r="DI22" i="34"/>
  <c r="DJ22" i="34"/>
  <c r="DK22" i="34"/>
  <c r="DL22" i="34"/>
  <c r="DM22" i="34"/>
  <c r="DN22" i="34"/>
  <c r="DD23" i="34"/>
  <c r="DE23" i="34"/>
  <c r="DF23" i="34"/>
  <c r="DG23" i="34"/>
  <c r="DH23" i="34"/>
  <c r="DI23" i="34"/>
  <c r="DJ23" i="34"/>
  <c r="DK23" i="34"/>
  <c r="DL23" i="34"/>
  <c r="DM23" i="34"/>
  <c r="DN23" i="34"/>
  <c r="DD24" i="34"/>
  <c r="DE24" i="34"/>
  <c r="DF24" i="34"/>
  <c r="DG24" i="34"/>
  <c r="DH24" i="34"/>
  <c r="DI24" i="34"/>
  <c r="DJ24" i="34"/>
  <c r="DK24" i="34"/>
  <c r="DL24" i="34"/>
  <c r="DM24" i="34"/>
  <c r="DN24" i="34"/>
  <c r="DC6" i="34"/>
  <c r="DC7" i="34"/>
  <c r="DC8" i="34"/>
  <c r="DC9" i="34"/>
  <c r="DC10" i="34"/>
  <c r="DC11" i="34"/>
  <c r="DC12" i="34"/>
  <c r="DC13" i="34"/>
  <c r="DC14" i="34"/>
  <c r="DC15" i="34"/>
  <c r="DC16" i="34"/>
  <c r="DC17" i="34"/>
  <c r="DC18" i="34"/>
  <c r="DC19" i="34"/>
  <c r="DC20" i="34"/>
  <c r="DC21" i="34"/>
  <c r="DC22" i="34"/>
  <c r="DC23" i="34"/>
  <c r="DC24" i="34"/>
  <c r="DC5" i="34"/>
  <c r="DB31" i="34"/>
  <c r="DB4" i="34"/>
  <c r="DB34" i="34"/>
  <c r="DB33" i="34"/>
  <c r="DB6" i="34"/>
  <c r="CZ51" i="34"/>
  <c r="CY51" i="34"/>
  <c r="CX51" i="34"/>
  <c r="CW51" i="34"/>
  <c r="CV51" i="34"/>
  <c r="CU51" i="34"/>
  <c r="CT51" i="34"/>
  <c r="CS51" i="34"/>
  <c r="CR51" i="34"/>
  <c r="CQ51" i="34"/>
  <c r="CP51" i="34"/>
  <c r="CO51" i="34"/>
  <c r="CZ50" i="34"/>
  <c r="CY50" i="34"/>
  <c r="CX50" i="34"/>
  <c r="CW50" i="34"/>
  <c r="CV50" i="34"/>
  <c r="CU50" i="34"/>
  <c r="CT50" i="34"/>
  <c r="CS50" i="34"/>
  <c r="CR50" i="34"/>
  <c r="CQ50" i="34"/>
  <c r="CP50" i="34"/>
  <c r="CO50" i="34"/>
  <c r="CZ49" i="34"/>
  <c r="CY49" i="34"/>
  <c r="CX49" i="34"/>
  <c r="CW49" i="34"/>
  <c r="CV49" i="34"/>
  <c r="CU49" i="34"/>
  <c r="CT49" i="34"/>
  <c r="CS49" i="34"/>
  <c r="CR49" i="34"/>
  <c r="CQ49" i="34"/>
  <c r="CP49" i="34"/>
  <c r="CO49" i="34"/>
  <c r="CZ48" i="34"/>
  <c r="CY48" i="34"/>
  <c r="CX48" i="34"/>
  <c r="CW48" i="34"/>
  <c r="CV48" i="34"/>
  <c r="CU48" i="34"/>
  <c r="CT48" i="34"/>
  <c r="CS48" i="34"/>
  <c r="CR48" i="34"/>
  <c r="CQ48" i="34"/>
  <c r="CP48" i="34"/>
  <c r="CO48" i="34"/>
  <c r="CZ47" i="34"/>
  <c r="CY47" i="34"/>
  <c r="CX47" i="34"/>
  <c r="CW47" i="34"/>
  <c r="CV47" i="34"/>
  <c r="CU47" i="34"/>
  <c r="CT47" i="34"/>
  <c r="CS47" i="34"/>
  <c r="CR47" i="34"/>
  <c r="CQ47" i="34"/>
  <c r="CP47" i="34"/>
  <c r="CO47" i="34"/>
  <c r="CZ46" i="34"/>
  <c r="CY46" i="34"/>
  <c r="CX46" i="34"/>
  <c r="CW46" i="34"/>
  <c r="CV46" i="34"/>
  <c r="CU46" i="34"/>
  <c r="CT46" i="34"/>
  <c r="CS46" i="34"/>
  <c r="CR46" i="34"/>
  <c r="CQ46" i="34"/>
  <c r="CP46" i="34"/>
  <c r="CO46" i="34"/>
  <c r="CZ45" i="34"/>
  <c r="CY45" i="34"/>
  <c r="CX45" i="34"/>
  <c r="CW45" i="34"/>
  <c r="CV45" i="34"/>
  <c r="CU45" i="34"/>
  <c r="CT45" i="34"/>
  <c r="CS45" i="34"/>
  <c r="CR45" i="34"/>
  <c r="CQ45" i="34"/>
  <c r="CP45" i="34"/>
  <c r="CO45" i="34"/>
  <c r="CZ44" i="34"/>
  <c r="CY44" i="34"/>
  <c r="CX44" i="34"/>
  <c r="CW44" i="34"/>
  <c r="CV44" i="34"/>
  <c r="CU44" i="34"/>
  <c r="CT44" i="34"/>
  <c r="CS44" i="34"/>
  <c r="CR44" i="34"/>
  <c r="CQ44" i="34"/>
  <c r="CP44" i="34"/>
  <c r="CO44" i="34"/>
  <c r="CZ43" i="34"/>
  <c r="CY43" i="34"/>
  <c r="CX43" i="34"/>
  <c r="CW43" i="34"/>
  <c r="CV43" i="34"/>
  <c r="CU43" i="34"/>
  <c r="CT43" i="34"/>
  <c r="CS43" i="34"/>
  <c r="CR43" i="34"/>
  <c r="CQ43" i="34"/>
  <c r="CP43" i="34"/>
  <c r="CO43" i="34"/>
  <c r="CZ42" i="34"/>
  <c r="CY42" i="34"/>
  <c r="CX42" i="34"/>
  <c r="CW42" i="34"/>
  <c r="CV42" i="34"/>
  <c r="CU42" i="34"/>
  <c r="CT42" i="34"/>
  <c r="CS42" i="34"/>
  <c r="CR42" i="34"/>
  <c r="CQ42" i="34"/>
  <c r="CP42" i="34"/>
  <c r="CO42" i="34"/>
  <c r="CZ41" i="34"/>
  <c r="CY41" i="34"/>
  <c r="CX41" i="34"/>
  <c r="CW41" i="34"/>
  <c r="CV41" i="34"/>
  <c r="CU41" i="34"/>
  <c r="CT41" i="34"/>
  <c r="CS41" i="34"/>
  <c r="CR41" i="34"/>
  <c r="CQ41" i="34"/>
  <c r="CP41" i="34"/>
  <c r="CO41" i="34"/>
  <c r="CZ40" i="34"/>
  <c r="CY40" i="34"/>
  <c r="CX40" i="34"/>
  <c r="CW40" i="34"/>
  <c r="CV40" i="34"/>
  <c r="CU40" i="34"/>
  <c r="CT40" i="34"/>
  <c r="CS40" i="34"/>
  <c r="CR40" i="34"/>
  <c r="CQ40" i="34"/>
  <c r="CP40" i="34"/>
  <c r="CO40" i="34"/>
  <c r="CZ39" i="34"/>
  <c r="CY39" i="34"/>
  <c r="CX39" i="34"/>
  <c r="CW39" i="34"/>
  <c r="CV39" i="34"/>
  <c r="CU39" i="34"/>
  <c r="CT39" i="34"/>
  <c r="CS39" i="34"/>
  <c r="CR39" i="34"/>
  <c r="CQ39" i="34"/>
  <c r="CP39" i="34"/>
  <c r="CO39" i="34"/>
  <c r="CZ38" i="34"/>
  <c r="CY38" i="34"/>
  <c r="CX38" i="34"/>
  <c r="CW38" i="34"/>
  <c r="CV38" i="34"/>
  <c r="CU38" i="34"/>
  <c r="CT38" i="34"/>
  <c r="CS38" i="34"/>
  <c r="CR38" i="34"/>
  <c r="CQ38" i="34"/>
  <c r="CP38" i="34"/>
  <c r="CO38" i="34"/>
  <c r="CZ37" i="34"/>
  <c r="CY37" i="34"/>
  <c r="CX37" i="34"/>
  <c r="CW37" i="34"/>
  <c r="CV37" i="34"/>
  <c r="CU37" i="34"/>
  <c r="CT37" i="34"/>
  <c r="CS37" i="34"/>
  <c r="CR37" i="34"/>
  <c r="CQ37" i="34"/>
  <c r="CP37" i="34"/>
  <c r="CO37" i="34"/>
  <c r="CZ36" i="34"/>
  <c r="CY36" i="34"/>
  <c r="CX36" i="34"/>
  <c r="CW36" i="34"/>
  <c r="CV36" i="34"/>
  <c r="CU36" i="34"/>
  <c r="CT36" i="34"/>
  <c r="CS36" i="34"/>
  <c r="CR36" i="34"/>
  <c r="CQ36" i="34"/>
  <c r="CP36" i="34"/>
  <c r="CO36" i="34"/>
  <c r="CZ35" i="34"/>
  <c r="CY35" i="34"/>
  <c r="CX35" i="34"/>
  <c r="CW35" i="34"/>
  <c r="CV35" i="34"/>
  <c r="CU35" i="34"/>
  <c r="CT35" i="34"/>
  <c r="CS35" i="34"/>
  <c r="CR35" i="34"/>
  <c r="CQ35" i="34"/>
  <c r="CP35" i="34"/>
  <c r="CO35" i="34"/>
  <c r="CZ34" i="34"/>
  <c r="CY34" i="34"/>
  <c r="CX34" i="34"/>
  <c r="CW34" i="34"/>
  <c r="CV34" i="34"/>
  <c r="CU34" i="34"/>
  <c r="CT34" i="34"/>
  <c r="CS34" i="34"/>
  <c r="CR34" i="34"/>
  <c r="CQ34" i="34"/>
  <c r="CP34" i="34"/>
  <c r="CO34" i="34"/>
  <c r="CZ33" i="34"/>
  <c r="CY33" i="34"/>
  <c r="CX33" i="34"/>
  <c r="CW33" i="34"/>
  <c r="CV33" i="34"/>
  <c r="CU33" i="34"/>
  <c r="CT33" i="34"/>
  <c r="CS33" i="34"/>
  <c r="CR33" i="34"/>
  <c r="CQ33" i="34"/>
  <c r="CP33" i="34"/>
  <c r="CO33" i="34"/>
  <c r="CZ32" i="34"/>
  <c r="CY32" i="34"/>
  <c r="CX32" i="34"/>
  <c r="CW32" i="34"/>
  <c r="CV32" i="34"/>
  <c r="CU32" i="34"/>
  <c r="CT32" i="34"/>
  <c r="CS32" i="34"/>
  <c r="CR32" i="34"/>
  <c r="CQ32" i="34"/>
  <c r="CP32" i="34"/>
  <c r="CO32" i="34"/>
  <c r="CZ24" i="34"/>
  <c r="CY24" i="34"/>
  <c r="CX24" i="34"/>
  <c r="CW24" i="34"/>
  <c r="CV24" i="34"/>
  <c r="CU24" i="34"/>
  <c r="CT24" i="34"/>
  <c r="CS24" i="34"/>
  <c r="CR24" i="34"/>
  <c r="CQ24" i="34"/>
  <c r="CP24" i="34"/>
  <c r="CO24" i="34"/>
  <c r="CZ23" i="34"/>
  <c r="CY23" i="34"/>
  <c r="CX23" i="34"/>
  <c r="CW23" i="34"/>
  <c r="CV23" i="34"/>
  <c r="CU23" i="34"/>
  <c r="CT23" i="34"/>
  <c r="CS23" i="34"/>
  <c r="CR23" i="34"/>
  <c r="CQ23" i="34"/>
  <c r="CP23" i="34"/>
  <c r="CO23" i="34"/>
  <c r="CZ22" i="34"/>
  <c r="CY22" i="34"/>
  <c r="CX22" i="34"/>
  <c r="CW22" i="34"/>
  <c r="CV22" i="34"/>
  <c r="CU22" i="34"/>
  <c r="CT22" i="34"/>
  <c r="CS22" i="34"/>
  <c r="CR22" i="34"/>
  <c r="CQ22" i="34"/>
  <c r="CP22" i="34"/>
  <c r="CO22" i="34"/>
  <c r="CZ21" i="34"/>
  <c r="CY21" i="34"/>
  <c r="CX21" i="34"/>
  <c r="CW21" i="34"/>
  <c r="CV21" i="34"/>
  <c r="CU21" i="34"/>
  <c r="CT21" i="34"/>
  <c r="CS21" i="34"/>
  <c r="CR21" i="34"/>
  <c r="CQ21" i="34"/>
  <c r="CP21" i="34"/>
  <c r="CO21" i="34"/>
  <c r="CZ20" i="34"/>
  <c r="CY20" i="34"/>
  <c r="CX20" i="34"/>
  <c r="CW20" i="34"/>
  <c r="CV20" i="34"/>
  <c r="CU20" i="34"/>
  <c r="CT20" i="34"/>
  <c r="CS20" i="34"/>
  <c r="CR20" i="34"/>
  <c r="CQ20" i="34"/>
  <c r="CP20" i="34"/>
  <c r="CO20" i="34"/>
  <c r="CZ19" i="34"/>
  <c r="CY19" i="34"/>
  <c r="CX19" i="34"/>
  <c r="CW19" i="34"/>
  <c r="CV19" i="34"/>
  <c r="CU19" i="34"/>
  <c r="CT19" i="34"/>
  <c r="CS19" i="34"/>
  <c r="CR19" i="34"/>
  <c r="CQ19" i="34"/>
  <c r="CP19" i="34"/>
  <c r="CO19" i="34"/>
  <c r="CZ18" i="34"/>
  <c r="CY18" i="34"/>
  <c r="CX18" i="34"/>
  <c r="CW18" i="34"/>
  <c r="CV18" i="34"/>
  <c r="CU18" i="34"/>
  <c r="CT18" i="34"/>
  <c r="CS18" i="34"/>
  <c r="CR18" i="34"/>
  <c r="CQ18" i="34"/>
  <c r="CP18" i="34"/>
  <c r="CO18" i="34"/>
  <c r="CZ17" i="34"/>
  <c r="CY17" i="34"/>
  <c r="CX17" i="34"/>
  <c r="CW17" i="34"/>
  <c r="CV17" i="34"/>
  <c r="CU17" i="34"/>
  <c r="CT17" i="34"/>
  <c r="CS17" i="34"/>
  <c r="CR17" i="34"/>
  <c r="CQ17" i="34"/>
  <c r="CP17" i="34"/>
  <c r="CO17" i="34"/>
  <c r="CZ16" i="34"/>
  <c r="CY16" i="34"/>
  <c r="CX16" i="34"/>
  <c r="CW16" i="34"/>
  <c r="CV16" i="34"/>
  <c r="CU16" i="34"/>
  <c r="CT16" i="34"/>
  <c r="CS16" i="34"/>
  <c r="CR16" i="34"/>
  <c r="CQ16" i="34"/>
  <c r="CP16" i="34"/>
  <c r="CO16" i="34"/>
  <c r="CZ15" i="34"/>
  <c r="CY15" i="34"/>
  <c r="CX15" i="34"/>
  <c r="CW15" i="34"/>
  <c r="CV15" i="34"/>
  <c r="CU15" i="34"/>
  <c r="CT15" i="34"/>
  <c r="CS15" i="34"/>
  <c r="CR15" i="34"/>
  <c r="CQ15" i="34"/>
  <c r="CP15" i="34"/>
  <c r="CO15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Z9" i="34"/>
  <c r="CY9" i="34"/>
  <c r="CX9" i="34"/>
  <c r="CW9" i="34"/>
  <c r="CV9" i="34"/>
  <c r="CU9" i="34"/>
  <c r="CT9" i="34"/>
  <c r="CS9" i="34"/>
  <c r="CR9" i="34"/>
  <c r="CQ9" i="34"/>
  <c r="CP9" i="34"/>
  <c r="CO9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Z7" i="34"/>
  <c r="CY7" i="34"/>
  <c r="CX7" i="34"/>
  <c r="CW7" i="34"/>
  <c r="CV7" i="34"/>
  <c r="CU7" i="34"/>
  <c r="CT7" i="34"/>
  <c r="CS7" i="34"/>
  <c r="CR7" i="34"/>
  <c r="CQ7" i="34"/>
  <c r="CP7" i="34"/>
  <c r="CO7" i="34"/>
  <c r="CZ6" i="34"/>
  <c r="CY6" i="34"/>
  <c r="CX6" i="34"/>
  <c r="CW6" i="34"/>
  <c r="CV6" i="34"/>
  <c r="CU6" i="34"/>
  <c r="CT6" i="34"/>
  <c r="CS6" i="34"/>
  <c r="CR6" i="34"/>
  <c r="CQ6" i="34"/>
  <c r="CP6" i="34"/>
  <c r="CO6" i="34"/>
  <c r="CZ5" i="34"/>
  <c r="CY5" i="34"/>
  <c r="CX5" i="34"/>
  <c r="CW5" i="34"/>
  <c r="CV5" i="34"/>
  <c r="CU5" i="34"/>
  <c r="CT5" i="34"/>
  <c r="CS5" i="34"/>
  <c r="CR5" i="34"/>
  <c r="CQ5" i="34"/>
  <c r="CP5" i="34"/>
  <c r="CO5" i="34"/>
  <c r="CL51" i="34"/>
  <c r="CK51" i="34"/>
  <c r="CJ51" i="34"/>
  <c r="CI51" i="34"/>
  <c r="CH51" i="34"/>
  <c r="CG51" i="34"/>
  <c r="CF51" i="34"/>
  <c r="CE51" i="34"/>
  <c r="CD51" i="34"/>
  <c r="CC51" i="34"/>
  <c r="CB51" i="34"/>
  <c r="CA51" i="34"/>
  <c r="CL50" i="34"/>
  <c r="CK50" i="34"/>
  <c r="CJ50" i="34"/>
  <c r="CI50" i="34"/>
  <c r="CH50" i="34"/>
  <c r="CG50" i="34"/>
  <c r="CF50" i="34"/>
  <c r="CE50" i="34"/>
  <c r="CD50" i="34"/>
  <c r="CC50" i="34"/>
  <c r="CB50" i="34"/>
  <c r="CA50" i="34"/>
  <c r="CL49" i="34"/>
  <c r="CK49" i="34"/>
  <c r="CJ49" i="34"/>
  <c r="CI49" i="34"/>
  <c r="CH49" i="34"/>
  <c r="CG49" i="34"/>
  <c r="CF49" i="34"/>
  <c r="CE49" i="34"/>
  <c r="CD49" i="34"/>
  <c r="CC49" i="34"/>
  <c r="CB49" i="34"/>
  <c r="CA49" i="34"/>
  <c r="CL48" i="34"/>
  <c r="CK48" i="34"/>
  <c r="CJ48" i="34"/>
  <c r="CI48" i="34"/>
  <c r="CH48" i="34"/>
  <c r="CG48" i="34"/>
  <c r="CF48" i="34"/>
  <c r="CE48" i="34"/>
  <c r="CD48" i="34"/>
  <c r="CC48" i="34"/>
  <c r="CB48" i="34"/>
  <c r="CA48" i="34"/>
  <c r="CL47" i="34"/>
  <c r="CK47" i="34"/>
  <c r="CJ47" i="34"/>
  <c r="CI47" i="34"/>
  <c r="CH47" i="34"/>
  <c r="CG47" i="34"/>
  <c r="CF47" i="34"/>
  <c r="CE47" i="34"/>
  <c r="CD47" i="34"/>
  <c r="CC47" i="34"/>
  <c r="CB47" i="34"/>
  <c r="CA47" i="34"/>
  <c r="CL46" i="34"/>
  <c r="CK46" i="34"/>
  <c r="CJ46" i="34"/>
  <c r="CI46" i="34"/>
  <c r="CH46" i="34"/>
  <c r="CG46" i="34"/>
  <c r="CF46" i="34"/>
  <c r="CE46" i="34"/>
  <c r="CD46" i="34"/>
  <c r="CC46" i="34"/>
  <c r="CB46" i="34"/>
  <c r="CA46" i="34"/>
  <c r="CL45" i="34"/>
  <c r="CK45" i="34"/>
  <c r="CJ45" i="34"/>
  <c r="CI45" i="34"/>
  <c r="CH45" i="34"/>
  <c r="CG45" i="34"/>
  <c r="CF45" i="34"/>
  <c r="CE45" i="34"/>
  <c r="CD45" i="34"/>
  <c r="CC45" i="34"/>
  <c r="CB45" i="34"/>
  <c r="CA45" i="34"/>
  <c r="CL44" i="34"/>
  <c r="CK44" i="34"/>
  <c r="CJ44" i="34"/>
  <c r="CI44" i="34"/>
  <c r="CH44" i="34"/>
  <c r="CG44" i="34"/>
  <c r="CF44" i="34"/>
  <c r="CE44" i="34"/>
  <c r="CD44" i="34"/>
  <c r="CC44" i="34"/>
  <c r="CB44" i="34"/>
  <c r="CA44" i="34"/>
  <c r="CL43" i="34"/>
  <c r="CK43" i="34"/>
  <c r="CJ43" i="34"/>
  <c r="CI43" i="34"/>
  <c r="CH43" i="34"/>
  <c r="CG43" i="34"/>
  <c r="CF43" i="34"/>
  <c r="CE43" i="34"/>
  <c r="CD43" i="34"/>
  <c r="CC43" i="34"/>
  <c r="CB43" i="34"/>
  <c r="CA43" i="34"/>
  <c r="CL42" i="34"/>
  <c r="CK42" i="34"/>
  <c r="CJ42" i="34"/>
  <c r="CI42" i="34"/>
  <c r="CH42" i="34"/>
  <c r="CG42" i="34"/>
  <c r="CF42" i="34"/>
  <c r="CE42" i="34"/>
  <c r="CD42" i="34"/>
  <c r="CC42" i="34"/>
  <c r="CB42" i="34"/>
  <c r="CA42" i="34"/>
  <c r="CL41" i="34"/>
  <c r="CK41" i="34"/>
  <c r="CJ41" i="34"/>
  <c r="CI41" i="34"/>
  <c r="CH41" i="34"/>
  <c r="CG41" i="34"/>
  <c r="CF41" i="34"/>
  <c r="CE41" i="34"/>
  <c r="CD41" i="34"/>
  <c r="CC41" i="34"/>
  <c r="CB41" i="34"/>
  <c r="CA41" i="34"/>
  <c r="CL40" i="34"/>
  <c r="CK40" i="34"/>
  <c r="CJ40" i="34"/>
  <c r="CI40" i="34"/>
  <c r="CH40" i="34"/>
  <c r="CG40" i="34"/>
  <c r="CF40" i="34"/>
  <c r="CE40" i="34"/>
  <c r="CD40" i="34"/>
  <c r="CC40" i="34"/>
  <c r="CB40" i="34"/>
  <c r="CA40" i="34"/>
  <c r="CL39" i="34"/>
  <c r="CK39" i="34"/>
  <c r="CJ39" i="34"/>
  <c r="CI39" i="34"/>
  <c r="CH39" i="34"/>
  <c r="CG39" i="34"/>
  <c r="CF39" i="34"/>
  <c r="CE39" i="34"/>
  <c r="CD39" i="34"/>
  <c r="CC39" i="34"/>
  <c r="CB39" i="34"/>
  <c r="CA39" i="34"/>
  <c r="CL38" i="34"/>
  <c r="CK38" i="34"/>
  <c r="CJ38" i="34"/>
  <c r="CI38" i="34"/>
  <c r="CH38" i="34"/>
  <c r="CG38" i="34"/>
  <c r="CF38" i="34"/>
  <c r="CE38" i="34"/>
  <c r="CD38" i="34"/>
  <c r="CC38" i="34"/>
  <c r="CB38" i="34"/>
  <c r="CA38" i="34"/>
  <c r="CL37" i="34"/>
  <c r="CK37" i="34"/>
  <c r="CJ37" i="34"/>
  <c r="CI37" i="34"/>
  <c r="CH37" i="34"/>
  <c r="CG37" i="34"/>
  <c r="CF37" i="34"/>
  <c r="CE37" i="34"/>
  <c r="CD37" i="34"/>
  <c r="CC37" i="34"/>
  <c r="CB37" i="34"/>
  <c r="CA37" i="34"/>
  <c r="CL36" i="34"/>
  <c r="CK36" i="34"/>
  <c r="CJ36" i="34"/>
  <c r="CI36" i="34"/>
  <c r="CH36" i="34"/>
  <c r="CG36" i="34"/>
  <c r="CF36" i="34"/>
  <c r="CE36" i="34"/>
  <c r="CD36" i="34"/>
  <c r="CC36" i="34"/>
  <c r="CB36" i="34"/>
  <c r="CA36" i="34"/>
  <c r="CL35" i="34"/>
  <c r="CK35" i="34"/>
  <c r="CJ35" i="34"/>
  <c r="CI35" i="34"/>
  <c r="CH35" i="34"/>
  <c r="CG35" i="34"/>
  <c r="CF35" i="34"/>
  <c r="CE35" i="34"/>
  <c r="CD35" i="34"/>
  <c r="CC35" i="34"/>
  <c r="CB35" i="34"/>
  <c r="CA35" i="34"/>
  <c r="CL34" i="34"/>
  <c r="CK34" i="34"/>
  <c r="CJ34" i="34"/>
  <c r="CI34" i="34"/>
  <c r="CH34" i="34"/>
  <c r="CG34" i="34"/>
  <c r="CF34" i="34"/>
  <c r="CE34" i="34"/>
  <c r="CD34" i="34"/>
  <c r="CC34" i="34"/>
  <c r="CB34" i="34"/>
  <c r="CA34" i="34"/>
  <c r="CL33" i="34"/>
  <c r="CK33" i="34"/>
  <c r="CJ33" i="34"/>
  <c r="CI33" i="34"/>
  <c r="CH33" i="34"/>
  <c r="CG33" i="34"/>
  <c r="CF33" i="34"/>
  <c r="CE33" i="34"/>
  <c r="CD33" i="34"/>
  <c r="CC33" i="34"/>
  <c r="CB33" i="34"/>
  <c r="CA33" i="34"/>
  <c r="CL32" i="34"/>
  <c r="CK32" i="34"/>
  <c r="CJ32" i="34"/>
  <c r="CI32" i="34"/>
  <c r="CH32" i="34"/>
  <c r="CG32" i="34"/>
  <c r="CF32" i="34"/>
  <c r="CE32" i="34"/>
  <c r="CD32" i="34"/>
  <c r="CC32" i="34"/>
  <c r="CB32" i="34"/>
  <c r="CA32" i="34"/>
  <c r="CL24" i="34"/>
  <c r="CK24" i="34"/>
  <c r="CJ24" i="34"/>
  <c r="CI24" i="34"/>
  <c r="CH24" i="34"/>
  <c r="CG24" i="34"/>
  <c r="CF24" i="34"/>
  <c r="CE24" i="34"/>
  <c r="CD24" i="34"/>
  <c r="CC24" i="34"/>
  <c r="CB24" i="34"/>
  <c r="CA24" i="34"/>
  <c r="CL23" i="34"/>
  <c r="CK23" i="34"/>
  <c r="CJ23" i="34"/>
  <c r="CI23" i="34"/>
  <c r="CH23" i="34"/>
  <c r="CG23" i="34"/>
  <c r="CF23" i="34"/>
  <c r="CE23" i="34"/>
  <c r="CD23" i="34"/>
  <c r="CC23" i="34"/>
  <c r="CB23" i="34"/>
  <c r="CA23" i="34"/>
  <c r="CL22" i="34"/>
  <c r="CK22" i="34"/>
  <c r="CJ22" i="34"/>
  <c r="CI22" i="34"/>
  <c r="CH22" i="34"/>
  <c r="CG22" i="34"/>
  <c r="CF22" i="34"/>
  <c r="CE22" i="34"/>
  <c r="CD22" i="34"/>
  <c r="CC22" i="34"/>
  <c r="CB22" i="34"/>
  <c r="CA22" i="34"/>
  <c r="CL21" i="34"/>
  <c r="CK21" i="34"/>
  <c r="CJ21" i="34"/>
  <c r="CI21" i="34"/>
  <c r="CH21" i="34"/>
  <c r="CG21" i="34"/>
  <c r="CF21" i="34"/>
  <c r="CE21" i="34"/>
  <c r="CD21" i="34"/>
  <c r="CC21" i="34"/>
  <c r="CB21" i="34"/>
  <c r="CA21" i="34"/>
  <c r="CL20" i="34"/>
  <c r="CK20" i="34"/>
  <c r="CJ20" i="34"/>
  <c r="CI20" i="34"/>
  <c r="CH20" i="34"/>
  <c r="CG20" i="34"/>
  <c r="CF20" i="34"/>
  <c r="CE20" i="34"/>
  <c r="CD20" i="34"/>
  <c r="CC20" i="34"/>
  <c r="CB20" i="34"/>
  <c r="CA20" i="34"/>
  <c r="CL19" i="34"/>
  <c r="CK19" i="34"/>
  <c r="CJ19" i="34"/>
  <c r="CI19" i="34"/>
  <c r="CH19" i="34"/>
  <c r="CG19" i="34"/>
  <c r="CF19" i="34"/>
  <c r="CE19" i="34"/>
  <c r="CD19" i="34"/>
  <c r="CC19" i="34"/>
  <c r="CB19" i="34"/>
  <c r="CA19" i="34"/>
  <c r="CL18" i="34"/>
  <c r="CK18" i="34"/>
  <c r="CJ18" i="34"/>
  <c r="CI18" i="34"/>
  <c r="CH18" i="34"/>
  <c r="CG18" i="34"/>
  <c r="CF18" i="34"/>
  <c r="CE18" i="34"/>
  <c r="CD18" i="34"/>
  <c r="CC18" i="34"/>
  <c r="CB18" i="34"/>
  <c r="CA18" i="34"/>
  <c r="CL17" i="34"/>
  <c r="CK17" i="34"/>
  <c r="CJ17" i="34"/>
  <c r="CI17" i="34"/>
  <c r="CH17" i="34"/>
  <c r="CG17" i="34"/>
  <c r="CF17" i="34"/>
  <c r="CE17" i="34"/>
  <c r="CD17" i="34"/>
  <c r="CC17" i="34"/>
  <c r="CB17" i="34"/>
  <c r="CA17" i="34"/>
  <c r="CL16" i="34"/>
  <c r="CK16" i="34"/>
  <c r="CJ16" i="34"/>
  <c r="CI16" i="34"/>
  <c r="CH16" i="34"/>
  <c r="CG16" i="34"/>
  <c r="CF16" i="34"/>
  <c r="CE16" i="34"/>
  <c r="CD16" i="34"/>
  <c r="CC16" i="34"/>
  <c r="CB16" i="34"/>
  <c r="CA16" i="34"/>
  <c r="CL15" i="34"/>
  <c r="CK15" i="34"/>
  <c r="CJ15" i="34"/>
  <c r="CI15" i="34"/>
  <c r="CH15" i="34"/>
  <c r="CG15" i="34"/>
  <c r="CF15" i="34"/>
  <c r="CE15" i="34"/>
  <c r="CD15" i="34"/>
  <c r="CC15" i="34"/>
  <c r="CB15" i="34"/>
  <c r="CA15" i="34"/>
  <c r="CL14" i="34"/>
  <c r="CK14" i="34"/>
  <c r="CJ14" i="34"/>
  <c r="CI14" i="34"/>
  <c r="CH14" i="34"/>
  <c r="CG14" i="34"/>
  <c r="CF14" i="34"/>
  <c r="CE14" i="34"/>
  <c r="CD14" i="34"/>
  <c r="CC14" i="34"/>
  <c r="CB14" i="34"/>
  <c r="CA14" i="34"/>
  <c r="CL13" i="34"/>
  <c r="CK13" i="34"/>
  <c r="CJ13" i="34"/>
  <c r="CI13" i="34"/>
  <c r="CH13" i="34"/>
  <c r="CG13" i="34"/>
  <c r="CF13" i="34"/>
  <c r="CE13" i="34"/>
  <c r="CD13" i="34"/>
  <c r="CC13" i="34"/>
  <c r="CB13" i="34"/>
  <c r="CA13" i="34"/>
  <c r="CL12" i="34"/>
  <c r="CK12" i="34"/>
  <c r="CJ12" i="34"/>
  <c r="CI12" i="34"/>
  <c r="CH12" i="34"/>
  <c r="CG12" i="34"/>
  <c r="CF12" i="34"/>
  <c r="CE12" i="34"/>
  <c r="CD12" i="34"/>
  <c r="CC12" i="34"/>
  <c r="CB12" i="34"/>
  <c r="CA12" i="34"/>
  <c r="CL11" i="34"/>
  <c r="CK11" i="34"/>
  <c r="CJ11" i="34"/>
  <c r="CI11" i="34"/>
  <c r="CH11" i="34"/>
  <c r="CG11" i="34"/>
  <c r="CF11" i="34"/>
  <c r="CE11" i="34"/>
  <c r="CD11" i="34"/>
  <c r="CC11" i="34"/>
  <c r="CB11" i="34"/>
  <c r="CA11" i="34"/>
  <c r="CL10" i="34"/>
  <c r="CK10" i="34"/>
  <c r="CJ10" i="34"/>
  <c r="CI10" i="34"/>
  <c r="CH10" i="34"/>
  <c r="CG10" i="34"/>
  <c r="CF10" i="34"/>
  <c r="CE10" i="34"/>
  <c r="CD10" i="34"/>
  <c r="CC10" i="34"/>
  <c r="CB10" i="34"/>
  <c r="CA10" i="34"/>
  <c r="CL9" i="34"/>
  <c r="CK9" i="34"/>
  <c r="CJ9" i="34"/>
  <c r="CI9" i="34"/>
  <c r="CH9" i="34"/>
  <c r="CG9" i="34"/>
  <c r="CF9" i="34"/>
  <c r="CE9" i="34"/>
  <c r="CD9" i="34"/>
  <c r="CC9" i="34"/>
  <c r="CB9" i="34"/>
  <c r="CA9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CL7" i="34"/>
  <c r="CK7" i="34"/>
  <c r="CJ7" i="34"/>
  <c r="CI7" i="34"/>
  <c r="CH7" i="34"/>
  <c r="CG7" i="34"/>
  <c r="CF7" i="34"/>
  <c r="CE7" i="34"/>
  <c r="CD7" i="34"/>
  <c r="CC7" i="34"/>
  <c r="CB7" i="34"/>
  <c r="CA7" i="34"/>
  <c r="CL6" i="34"/>
  <c r="CK6" i="34"/>
  <c r="CJ6" i="34"/>
  <c r="CI6" i="34"/>
  <c r="CH6" i="34"/>
  <c r="CG6" i="34"/>
  <c r="CF6" i="34"/>
  <c r="CE6" i="34"/>
  <c r="CD6" i="34"/>
  <c r="CC6" i="34"/>
  <c r="CB6" i="34"/>
  <c r="CA6" i="34"/>
  <c r="CL5" i="34"/>
  <c r="CK5" i="34"/>
  <c r="CJ5" i="34"/>
  <c r="CI5" i="34"/>
  <c r="CH5" i="34"/>
  <c r="CG5" i="34"/>
  <c r="CF5" i="34"/>
  <c r="CE5" i="34"/>
  <c r="CD5" i="34"/>
  <c r="CC5" i="34"/>
  <c r="CB5" i="34"/>
  <c r="CA5" i="34"/>
  <c r="BX51" i="34"/>
  <c r="BW51" i="34"/>
  <c r="BV51" i="34"/>
  <c r="BU51" i="34"/>
  <c r="BT51" i="34"/>
  <c r="BS51" i="34"/>
  <c r="BR51" i="34"/>
  <c r="BQ51" i="34"/>
  <c r="BP51" i="34"/>
  <c r="BO51" i="34"/>
  <c r="BN51" i="34"/>
  <c r="BM51" i="34"/>
  <c r="BX50" i="34"/>
  <c r="BW50" i="34"/>
  <c r="BV50" i="34"/>
  <c r="BU50" i="34"/>
  <c r="BT50" i="34"/>
  <c r="BS50" i="34"/>
  <c r="BR50" i="34"/>
  <c r="BQ50" i="34"/>
  <c r="BP50" i="34"/>
  <c r="BO50" i="34"/>
  <c r="BN50" i="34"/>
  <c r="BM50" i="34"/>
  <c r="BX49" i="34"/>
  <c r="BW49" i="34"/>
  <c r="BV49" i="34"/>
  <c r="BU49" i="34"/>
  <c r="BT49" i="34"/>
  <c r="BS49" i="34"/>
  <c r="BR49" i="34"/>
  <c r="BQ49" i="34"/>
  <c r="BP49" i="34"/>
  <c r="BO49" i="34"/>
  <c r="BN49" i="34"/>
  <c r="BM49" i="34"/>
  <c r="BX48" i="34"/>
  <c r="BW48" i="34"/>
  <c r="BV48" i="34"/>
  <c r="BU48" i="34"/>
  <c r="BT48" i="34"/>
  <c r="BS48" i="34"/>
  <c r="BR48" i="34"/>
  <c r="BQ48" i="34"/>
  <c r="BP48" i="34"/>
  <c r="BO48" i="34"/>
  <c r="BN48" i="34"/>
  <c r="BM48" i="34"/>
  <c r="BX47" i="34"/>
  <c r="BW47" i="34"/>
  <c r="BV47" i="34"/>
  <c r="BU47" i="34"/>
  <c r="BT47" i="34"/>
  <c r="BS47" i="34"/>
  <c r="BR47" i="34"/>
  <c r="BQ47" i="34"/>
  <c r="BP47" i="34"/>
  <c r="BO47" i="34"/>
  <c r="BN47" i="34"/>
  <c r="BM47" i="34"/>
  <c r="BX46" i="34"/>
  <c r="BW46" i="34"/>
  <c r="BV46" i="34"/>
  <c r="BU46" i="34"/>
  <c r="BT46" i="34"/>
  <c r="BS46" i="34"/>
  <c r="BR46" i="34"/>
  <c r="BQ46" i="34"/>
  <c r="BP46" i="34"/>
  <c r="BO46" i="34"/>
  <c r="BN46" i="34"/>
  <c r="BM46" i="34"/>
  <c r="BX45" i="34"/>
  <c r="BW45" i="34"/>
  <c r="BV45" i="34"/>
  <c r="BU45" i="34"/>
  <c r="BT45" i="34"/>
  <c r="BS45" i="34"/>
  <c r="BR45" i="34"/>
  <c r="BQ45" i="34"/>
  <c r="BP45" i="34"/>
  <c r="BO45" i="34"/>
  <c r="BN45" i="34"/>
  <c r="BM45" i="34"/>
  <c r="BX44" i="34"/>
  <c r="BW44" i="34"/>
  <c r="BV44" i="34"/>
  <c r="BU44" i="34"/>
  <c r="BT44" i="34"/>
  <c r="BS44" i="34"/>
  <c r="BR44" i="34"/>
  <c r="BQ44" i="34"/>
  <c r="BP44" i="34"/>
  <c r="BO44" i="34"/>
  <c r="BN44" i="34"/>
  <c r="BM44" i="34"/>
  <c r="BX43" i="34"/>
  <c r="BW43" i="34"/>
  <c r="BV43" i="34"/>
  <c r="BU43" i="34"/>
  <c r="BT43" i="34"/>
  <c r="BS43" i="34"/>
  <c r="BR43" i="34"/>
  <c r="BQ43" i="34"/>
  <c r="BP43" i="34"/>
  <c r="BO43" i="34"/>
  <c r="BN43" i="34"/>
  <c r="BM43" i="34"/>
  <c r="BX42" i="34"/>
  <c r="BW42" i="34"/>
  <c r="BV42" i="34"/>
  <c r="BU42" i="34"/>
  <c r="BT42" i="34"/>
  <c r="BS42" i="34"/>
  <c r="BR42" i="34"/>
  <c r="BQ42" i="34"/>
  <c r="BP42" i="34"/>
  <c r="BO42" i="34"/>
  <c r="BN42" i="34"/>
  <c r="BM42" i="34"/>
  <c r="BX41" i="34"/>
  <c r="BW41" i="34"/>
  <c r="BV41" i="34"/>
  <c r="BU41" i="34"/>
  <c r="BT41" i="34"/>
  <c r="BS41" i="34"/>
  <c r="BR41" i="34"/>
  <c r="BQ41" i="34"/>
  <c r="BP41" i="34"/>
  <c r="BO41" i="34"/>
  <c r="BN41" i="34"/>
  <c r="BM41" i="34"/>
  <c r="BX40" i="34"/>
  <c r="BW40" i="34"/>
  <c r="BV40" i="34"/>
  <c r="BU40" i="34"/>
  <c r="BT40" i="34"/>
  <c r="BS40" i="34"/>
  <c r="BR40" i="34"/>
  <c r="BQ40" i="34"/>
  <c r="BP40" i="34"/>
  <c r="BO40" i="34"/>
  <c r="BN40" i="34"/>
  <c r="BM40" i="34"/>
  <c r="BX39" i="34"/>
  <c r="BW39" i="34"/>
  <c r="BV39" i="34"/>
  <c r="BU39" i="34"/>
  <c r="BT39" i="34"/>
  <c r="BS39" i="34"/>
  <c r="BR39" i="34"/>
  <c r="BQ39" i="34"/>
  <c r="BP39" i="34"/>
  <c r="BO39" i="34"/>
  <c r="BN39" i="34"/>
  <c r="BM39" i="34"/>
  <c r="BX38" i="34"/>
  <c r="BW38" i="34"/>
  <c r="BV38" i="34"/>
  <c r="BU38" i="34"/>
  <c r="BT38" i="34"/>
  <c r="BS38" i="34"/>
  <c r="BR38" i="34"/>
  <c r="BQ38" i="34"/>
  <c r="BP38" i="34"/>
  <c r="BO38" i="34"/>
  <c r="BN38" i="34"/>
  <c r="BM38" i="34"/>
  <c r="BX37" i="34"/>
  <c r="BW37" i="34"/>
  <c r="BV37" i="34"/>
  <c r="BU37" i="34"/>
  <c r="BT37" i="34"/>
  <c r="BS37" i="34"/>
  <c r="BR37" i="34"/>
  <c r="BQ37" i="34"/>
  <c r="BP37" i="34"/>
  <c r="BO37" i="34"/>
  <c r="BN37" i="34"/>
  <c r="BM37" i="34"/>
  <c r="BX36" i="34"/>
  <c r="BW36" i="34"/>
  <c r="BV36" i="34"/>
  <c r="BU36" i="34"/>
  <c r="BT36" i="34"/>
  <c r="BS36" i="34"/>
  <c r="BR36" i="34"/>
  <c r="BQ36" i="34"/>
  <c r="BP36" i="34"/>
  <c r="BO36" i="34"/>
  <c r="BN36" i="34"/>
  <c r="BM36" i="34"/>
  <c r="BX35" i="34"/>
  <c r="BW35" i="34"/>
  <c r="BV35" i="34"/>
  <c r="BU35" i="34"/>
  <c r="BT35" i="34"/>
  <c r="BS35" i="34"/>
  <c r="BR35" i="34"/>
  <c r="BQ35" i="34"/>
  <c r="BP35" i="34"/>
  <c r="BO35" i="34"/>
  <c r="BN35" i="34"/>
  <c r="BM35" i="34"/>
  <c r="BX34" i="34"/>
  <c r="BW34" i="34"/>
  <c r="BV34" i="34"/>
  <c r="BU34" i="34"/>
  <c r="BT34" i="34"/>
  <c r="BS34" i="34"/>
  <c r="BR34" i="34"/>
  <c r="BQ34" i="34"/>
  <c r="BP34" i="34"/>
  <c r="BO34" i="34"/>
  <c r="BN34" i="34"/>
  <c r="BM34" i="34"/>
  <c r="BX33" i="34"/>
  <c r="BW33" i="34"/>
  <c r="BV33" i="34"/>
  <c r="BU33" i="34"/>
  <c r="BT33" i="34"/>
  <c r="BS33" i="34"/>
  <c r="BR33" i="34"/>
  <c r="BQ33" i="34"/>
  <c r="BP33" i="34"/>
  <c r="BO33" i="34"/>
  <c r="BN33" i="34"/>
  <c r="BM33" i="34"/>
  <c r="BX32" i="34"/>
  <c r="BW32" i="34"/>
  <c r="BV32" i="34"/>
  <c r="BU32" i="34"/>
  <c r="BT32" i="34"/>
  <c r="BS32" i="34"/>
  <c r="BR32" i="34"/>
  <c r="BQ32" i="34"/>
  <c r="BP32" i="34"/>
  <c r="BO32" i="34"/>
  <c r="BN32" i="34"/>
  <c r="BM32" i="34"/>
  <c r="BX24" i="34"/>
  <c r="BW24" i="34"/>
  <c r="BV24" i="34"/>
  <c r="BU24" i="34"/>
  <c r="BT24" i="34"/>
  <c r="BS24" i="34"/>
  <c r="BR24" i="34"/>
  <c r="BQ24" i="34"/>
  <c r="BP24" i="34"/>
  <c r="BO24" i="34"/>
  <c r="BN24" i="34"/>
  <c r="BM24" i="34"/>
  <c r="BX23" i="34"/>
  <c r="BW23" i="34"/>
  <c r="BV23" i="34"/>
  <c r="BU23" i="34"/>
  <c r="BT23" i="34"/>
  <c r="BS23" i="34"/>
  <c r="BR23" i="34"/>
  <c r="BQ23" i="34"/>
  <c r="BP23" i="34"/>
  <c r="BO23" i="34"/>
  <c r="BN23" i="34"/>
  <c r="BM23" i="34"/>
  <c r="BX22" i="34"/>
  <c r="BW22" i="34"/>
  <c r="BV22" i="34"/>
  <c r="BU22" i="34"/>
  <c r="BT22" i="34"/>
  <c r="BS22" i="34"/>
  <c r="BR22" i="34"/>
  <c r="BQ22" i="34"/>
  <c r="BP22" i="34"/>
  <c r="BO22" i="34"/>
  <c r="BN22" i="34"/>
  <c r="BM22" i="34"/>
  <c r="BX21" i="34"/>
  <c r="BW21" i="34"/>
  <c r="BV21" i="34"/>
  <c r="BU21" i="34"/>
  <c r="BT21" i="34"/>
  <c r="BS21" i="34"/>
  <c r="BR21" i="34"/>
  <c r="BQ21" i="34"/>
  <c r="BP21" i="34"/>
  <c r="BO21" i="34"/>
  <c r="BN21" i="34"/>
  <c r="BM21" i="34"/>
  <c r="BX20" i="34"/>
  <c r="BW20" i="34"/>
  <c r="BV20" i="34"/>
  <c r="BU20" i="34"/>
  <c r="BT20" i="34"/>
  <c r="BS20" i="34"/>
  <c r="BR20" i="34"/>
  <c r="BQ20" i="34"/>
  <c r="BP20" i="34"/>
  <c r="BO20" i="34"/>
  <c r="BN20" i="34"/>
  <c r="BM20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X18" i="34"/>
  <c r="BW18" i="34"/>
  <c r="BV18" i="34"/>
  <c r="BU18" i="34"/>
  <c r="BT18" i="34"/>
  <c r="BS18" i="34"/>
  <c r="BR18" i="34"/>
  <c r="BQ18" i="34"/>
  <c r="BP18" i="34"/>
  <c r="BO18" i="34"/>
  <c r="BN18" i="34"/>
  <c r="BM18" i="34"/>
  <c r="BX17" i="34"/>
  <c r="BW17" i="34"/>
  <c r="BV17" i="34"/>
  <c r="BU17" i="34"/>
  <c r="BT17" i="34"/>
  <c r="BS17" i="34"/>
  <c r="BR17" i="34"/>
  <c r="BQ17" i="34"/>
  <c r="BP17" i="34"/>
  <c r="BO17" i="34"/>
  <c r="BN17" i="34"/>
  <c r="BM17" i="34"/>
  <c r="BX16" i="34"/>
  <c r="BW16" i="34"/>
  <c r="BV16" i="34"/>
  <c r="BU16" i="34"/>
  <c r="BT16" i="34"/>
  <c r="BS16" i="34"/>
  <c r="BR16" i="34"/>
  <c r="BQ16" i="34"/>
  <c r="BP16" i="34"/>
  <c r="BO16" i="34"/>
  <c r="BN16" i="34"/>
  <c r="BM16" i="34"/>
  <c r="BX15" i="34"/>
  <c r="BW15" i="34"/>
  <c r="BV15" i="34"/>
  <c r="BU15" i="34"/>
  <c r="BT15" i="34"/>
  <c r="BS15" i="34"/>
  <c r="BR15" i="34"/>
  <c r="BQ15" i="34"/>
  <c r="BP15" i="34"/>
  <c r="BO15" i="34"/>
  <c r="BN15" i="34"/>
  <c r="BM15" i="34"/>
  <c r="BX14" i="34"/>
  <c r="BW14" i="34"/>
  <c r="BV14" i="34"/>
  <c r="BU14" i="34"/>
  <c r="BT14" i="34"/>
  <c r="BS14" i="34"/>
  <c r="BR14" i="34"/>
  <c r="BQ14" i="34"/>
  <c r="BP14" i="34"/>
  <c r="BO14" i="34"/>
  <c r="BN14" i="34"/>
  <c r="BM14" i="34"/>
  <c r="BX13" i="34"/>
  <c r="BW13" i="34"/>
  <c r="BV13" i="34"/>
  <c r="BU13" i="34"/>
  <c r="BT13" i="34"/>
  <c r="BS13" i="34"/>
  <c r="BR13" i="34"/>
  <c r="BQ13" i="34"/>
  <c r="BP13" i="34"/>
  <c r="BO13" i="34"/>
  <c r="BN13" i="34"/>
  <c r="BM13" i="34"/>
  <c r="BX12" i="34"/>
  <c r="BW12" i="34"/>
  <c r="BV12" i="34"/>
  <c r="BU12" i="34"/>
  <c r="BT12" i="34"/>
  <c r="BS12" i="34"/>
  <c r="BR12" i="34"/>
  <c r="BQ12" i="34"/>
  <c r="BP12" i="34"/>
  <c r="BO12" i="34"/>
  <c r="BN12" i="34"/>
  <c r="BM12" i="34"/>
  <c r="BX11" i="34"/>
  <c r="BW11" i="34"/>
  <c r="BV11" i="34"/>
  <c r="BU11" i="34"/>
  <c r="BT11" i="34"/>
  <c r="BS11" i="34"/>
  <c r="BR11" i="34"/>
  <c r="BQ11" i="34"/>
  <c r="BP11" i="34"/>
  <c r="BO11" i="34"/>
  <c r="BN11" i="34"/>
  <c r="BM11" i="34"/>
  <c r="BX10" i="34"/>
  <c r="BW10" i="34"/>
  <c r="BV10" i="34"/>
  <c r="BU10" i="34"/>
  <c r="BT10" i="34"/>
  <c r="BS10" i="34"/>
  <c r="BR10" i="34"/>
  <c r="BQ10" i="34"/>
  <c r="BP10" i="34"/>
  <c r="BO10" i="34"/>
  <c r="BN10" i="34"/>
  <c r="BM10" i="34"/>
  <c r="BX9" i="34"/>
  <c r="BW9" i="34"/>
  <c r="BV9" i="34"/>
  <c r="BU9" i="34"/>
  <c r="BT9" i="34"/>
  <c r="BS9" i="34"/>
  <c r="BR9" i="34"/>
  <c r="BQ9" i="34"/>
  <c r="BP9" i="34"/>
  <c r="BO9" i="34"/>
  <c r="BN9" i="34"/>
  <c r="BM9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X7" i="34"/>
  <c r="BW7" i="34"/>
  <c r="BV7" i="34"/>
  <c r="BU7" i="34"/>
  <c r="BT7" i="34"/>
  <c r="BS7" i="34"/>
  <c r="BR7" i="34"/>
  <c r="BQ7" i="34"/>
  <c r="BP7" i="34"/>
  <c r="BO7" i="34"/>
  <c r="BN7" i="34"/>
  <c r="BM7" i="34"/>
  <c r="BX6" i="34"/>
  <c r="BW6" i="34"/>
  <c r="BV6" i="34"/>
  <c r="BU6" i="34"/>
  <c r="BT6" i="34"/>
  <c r="BS6" i="34"/>
  <c r="BR6" i="34"/>
  <c r="BQ6" i="34"/>
  <c r="BP6" i="34"/>
  <c r="BO6" i="34"/>
  <c r="BN6" i="34"/>
  <c r="BM6" i="34"/>
  <c r="BX5" i="34"/>
  <c r="BW5" i="34"/>
  <c r="BV5" i="34"/>
  <c r="BU5" i="34"/>
  <c r="BT5" i="34"/>
  <c r="BS5" i="34"/>
  <c r="BR5" i="34"/>
  <c r="BQ5" i="34"/>
  <c r="BP5" i="34"/>
  <c r="BO5" i="34"/>
  <c r="BN5" i="34"/>
  <c r="BM5" i="34"/>
  <c r="BJ51" i="34"/>
  <c r="BI51" i="34"/>
  <c r="BH51" i="34"/>
  <c r="BG51" i="34"/>
  <c r="BF51" i="34"/>
  <c r="BE51" i="34"/>
  <c r="BD51" i="34"/>
  <c r="BC51" i="34"/>
  <c r="BB51" i="34"/>
  <c r="BA51" i="34"/>
  <c r="AZ51" i="34"/>
  <c r="AY51" i="34"/>
  <c r="BJ50" i="34"/>
  <c r="BI50" i="34"/>
  <c r="BH50" i="34"/>
  <c r="BG50" i="34"/>
  <c r="BF50" i="34"/>
  <c r="BE50" i="34"/>
  <c r="BD50" i="34"/>
  <c r="BC50" i="34"/>
  <c r="BB50" i="34"/>
  <c r="BA50" i="34"/>
  <c r="AZ50" i="34"/>
  <c r="AY50" i="34"/>
  <c r="BJ49" i="34"/>
  <c r="BI49" i="34"/>
  <c r="BH49" i="34"/>
  <c r="BG49" i="34"/>
  <c r="BF49" i="34"/>
  <c r="BE49" i="34"/>
  <c r="BD49" i="34"/>
  <c r="BC49" i="34"/>
  <c r="BB49" i="34"/>
  <c r="BA49" i="34"/>
  <c r="AZ49" i="34"/>
  <c r="AY49" i="34"/>
  <c r="BJ48" i="34"/>
  <c r="BI48" i="34"/>
  <c r="BH48" i="34"/>
  <c r="BG48" i="34"/>
  <c r="BF48" i="34"/>
  <c r="BE48" i="34"/>
  <c r="BD48" i="34"/>
  <c r="BC48" i="34"/>
  <c r="BB48" i="34"/>
  <c r="BA48" i="34"/>
  <c r="AZ48" i="34"/>
  <c r="AY48" i="34"/>
  <c r="BJ47" i="34"/>
  <c r="BI47" i="34"/>
  <c r="BH47" i="34"/>
  <c r="BG47" i="34"/>
  <c r="BF47" i="34"/>
  <c r="BE47" i="34"/>
  <c r="BD47" i="34"/>
  <c r="BC47" i="34"/>
  <c r="BB47" i="34"/>
  <c r="BA47" i="34"/>
  <c r="AZ47" i="34"/>
  <c r="AY47" i="34"/>
  <c r="BJ46" i="34"/>
  <c r="BI46" i="34"/>
  <c r="BH46" i="34"/>
  <c r="BG46" i="34"/>
  <c r="BF46" i="34"/>
  <c r="BE46" i="34"/>
  <c r="BD46" i="34"/>
  <c r="BC46" i="34"/>
  <c r="BB46" i="34"/>
  <c r="BA46" i="34"/>
  <c r="AZ46" i="34"/>
  <c r="AY46" i="34"/>
  <c r="BJ45" i="34"/>
  <c r="BI45" i="34"/>
  <c r="BH45" i="34"/>
  <c r="BG45" i="34"/>
  <c r="BF45" i="34"/>
  <c r="BE45" i="34"/>
  <c r="BD45" i="34"/>
  <c r="BC45" i="34"/>
  <c r="BB45" i="34"/>
  <c r="BA45" i="34"/>
  <c r="AZ45" i="34"/>
  <c r="AY45" i="34"/>
  <c r="BJ44" i="34"/>
  <c r="BI44" i="34"/>
  <c r="BH44" i="34"/>
  <c r="BG44" i="34"/>
  <c r="BF44" i="34"/>
  <c r="BE44" i="34"/>
  <c r="BD44" i="34"/>
  <c r="BC44" i="34"/>
  <c r="BB44" i="34"/>
  <c r="BA44" i="34"/>
  <c r="AZ44" i="34"/>
  <c r="AY44" i="34"/>
  <c r="BJ43" i="34"/>
  <c r="BI43" i="34"/>
  <c r="BH43" i="34"/>
  <c r="BG43" i="34"/>
  <c r="BF43" i="34"/>
  <c r="BE43" i="34"/>
  <c r="BD43" i="34"/>
  <c r="BC43" i="34"/>
  <c r="BB43" i="34"/>
  <c r="AZ43" i="34"/>
  <c r="AY43" i="34"/>
  <c r="BJ42" i="34"/>
  <c r="BI42" i="34"/>
  <c r="BH42" i="34"/>
  <c r="BG42" i="34"/>
  <c r="BF42" i="34"/>
  <c r="BE42" i="34"/>
  <c r="BD42" i="34"/>
  <c r="BC42" i="34"/>
  <c r="BB42" i="34"/>
  <c r="BA42" i="34"/>
  <c r="AZ42" i="34"/>
  <c r="AY42" i="34"/>
  <c r="BJ41" i="34"/>
  <c r="BI41" i="34"/>
  <c r="BH41" i="34"/>
  <c r="BG41" i="34"/>
  <c r="BF41" i="34"/>
  <c r="BE41" i="34"/>
  <c r="BD41" i="34"/>
  <c r="BC41" i="34"/>
  <c r="BB41" i="34"/>
  <c r="BA41" i="34"/>
  <c r="AZ41" i="34"/>
  <c r="AY41" i="34"/>
  <c r="BJ40" i="34"/>
  <c r="BI40" i="34"/>
  <c r="BH40" i="34"/>
  <c r="BG40" i="34"/>
  <c r="BF40" i="34"/>
  <c r="BE40" i="34"/>
  <c r="BD40" i="34"/>
  <c r="BC40" i="34"/>
  <c r="BB40" i="34"/>
  <c r="BA40" i="34"/>
  <c r="AZ40" i="34"/>
  <c r="AY40" i="34"/>
  <c r="BJ39" i="34"/>
  <c r="BI39" i="34"/>
  <c r="BH39" i="34"/>
  <c r="BG39" i="34"/>
  <c r="BF39" i="34"/>
  <c r="BE39" i="34"/>
  <c r="BD39" i="34"/>
  <c r="BC39" i="34"/>
  <c r="BB39" i="34"/>
  <c r="BA39" i="34"/>
  <c r="AZ39" i="34"/>
  <c r="AY39" i="34"/>
  <c r="BJ38" i="34"/>
  <c r="BI38" i="34"/>
  <c r="BH38" i="34"/>
  <c r="BG38" i="34"/>
  <c r="BF38" i="34"/>
  <c r="BE38" i="34"/>
  <c r="BD38" i="34"/>
  <c r="BC38" i="34"/>
  <c r="BB38" i="34"/>
  <c r="BA38" i="34"/>
  <c r="AZ38" i="34"/>
  <c r="AY38" i="34"/>
  <c r="BJ37" i="34"/>
  <c r="BI37" i="34"/>
  <c r="BH37" i="34"/>
  <c r="BG37" i="34"/>
  <c r="BF37" i="34"/>
  <c r="BE37" i="34"/>
  <c r="BD37" i="34"/>
  <c r="BC37" i="34"/>
  <c r="BB37" i="34"/>
  <c r="BA37" i="34"/>
  <c r="AZ37" i="34"/>
  <c r="AY37" i="34"/>
  <c r="BJ36" i="34"/>
  <c r="BI36" i="34"/>
  <c r="BH36" i="34"/>
  <c r="BG36" i="34"/>
  <c r="BF36" i="34"/>
  <c r="BE36" i="34"/>
  <c r="BD36" i="34"/>
  <c r="BC36" i="34"/>
  <c r="BB36" i="34"/>
  <c r="BA36" i="34"/>
  <c r="AZ36" i="34"/>
  <c r="AY36" i="34"/>
  <c r="BJ35" i="34"/>
  <c r="BI35" i="34"/>
  <c r="BH35" i="34"/>
  <c r="BG35" i="34"/>
  <c r="BF35" i="34"/>
  <c r="BE35" i="34"/>
  <c r="BD35" i="34"/>
  <c r="BC35" i="34"/>
  <c r="BB35" i="34"/>
  <c r="BA35" i="34"/>
  <c r="AZ35" i="34"/>
  <c r="AY35" i="34"/>
  <c r="BJ34" i="34"/>
  <c r="BI34" i="34"/>
  <c r="BH34" i="34"/>
  <c r="BG34" i="34"/>
  <c r="BF34" i="34"/>
  <c r="BE34" i="34"/>
  <c r="BD34" i="34"/>
  <c r="BC34" i="34"/>
  <c r="BB34" i="34"/>
  <c r="BA34" i="34"/>
  <c r="AZ34" i="34"/>
  <c r="AY34" i="34"/>
  <c r="BJ33" i="34"/>
  <c r="BI33" i="34"/>
  <c r="BH33" i="34"/>
  <c r="BG33" i="34"/>
  <c r="BF33" i="34"/>
  <c r="BE33" i="34"/>
  <c r="BD33" i="34"/>
  <c r="BC33" i="34"/>
  <c r="BB33" i="34"/>
  <c r="BA33" i="34"/>
  <c r="AZ33" i="34"/>
  <c r="AY33" i="34"/>
  <c r="BJ32" i="34"/>
  <c r="BI32" i="34"/>
  <c r="BH32" i="34"/>
  <c r="BG32" i="34"/>
  <c r="BF32" i="34"/>
  <c r="BE32" i="34"/>
  <c r="BD32" i="34"/>
  <c r="BC32" i="34"/>
  <c r="BB32" i="34"/>
  <c r="BA32" i="34"/>
  <c r="AZ32" i="34"/>
  <c r="AY32" i="34"/>
  <c r="BJ24" i="34"/>
  <c r="BI24" i="34"/>
  <c r="BH24" i="34"/>
  <c r="BG24" i="34"/>
  <c r="BF24" i="34"/>
  <c r="BE24" i="34"/>
  <c r="BD24" i="34"/>
  <c r="BC24" i="34"/>
  <c r="BB24" i="34"/>
  <c r="BA24" i="34"/>
  <c r="AZ24" i="34"/>
  <c r="AY24" i="34"/>
  <c r="BJ23" i="34"/>
  <c r="BI23" i="34"/>
  <c r="BH23" i="34"/>
  <c r="BG23" i="34"/>
  <c r="BF23" i="34"/>
  <c r="BE23" i="34"/>
  <c r="BD23" i="34"/>
  <c r="BC23" i="34"/>
  <c r="BB23" i="34"/>
  <c r="BA23" i="34"/>
  <c r="AZ23" i="34"/>
  <c r="AY23" i="34"/>
  <c r="BJ22" i="34"/>
  <c r="BI22" i="34"/>
  <c r="BH22" i="34"/>
  <c r="BG22" i="34"/>
  <c r="BF22" i="34"/>
  <c r="BE22" i="34"/>
  <c r="BD22" i="34"/>
  <c r="BC22" i="34"/>
  <c r="BB22" i="34"/>
  <c r="BA22" i="34"/>
  <c r="AZ22" i="34"/>
  <c r="AY22" i="34"/>
  <c r="BJ21" i="34"/>
  <c r="BI21" i="34"/>
  <c r="BH21" i="34"/>
  <c r="BG21" i="34"/>
  <c r="BF21" i="34"/>
  <c r="BE21" i="34"/>
  <c r="BD21" i="34"/>
  <c r="BC21" i="34"/>
  <c r="BB21" i="34"/>
  <c r="BA21" i="34"/>
  <c r="AZ21" i="34"/>
  <c r="AY21" i="34"/>
  <c r="BJ20" i="34"/>
  <c r="BI20" i="34"/>
  <c r="BH20" i="34"/>
  <c r="BG20" i="34"/>
  <c r="BF20" i="34"/>
  <c r="BE20" i="34"/>
  <c r="BD20" i="34"/>
  <c r="BC20" i="34"/>
  <c r="BB20" i="34"/>
  <c r="BA20" i="34"/>
  <c r="AZ20" i="34"/>
  <c r="AY20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BJ18" i="34"/>
  <c r="BI18" i="34"/>
  <c r="BH18" i="34"/>
  <c r="BG18" i="34"/>
  <c r="BF18" i="34"/>
  <c r="BE18" i="34"/>
  <c r="BD18" i="34"/>
  <c r="BC18" i="34"/>
  <c r="BB18" i="34"/>
  <c r="BA18" i="34"/>
  <c r="AZ18" i="34"/>
  <c r="AY18" i="34"/>
  <c r="BJ17" i="34"/>
  <c r="BI17" i="34"/>
  <c r="BH17" i="34"/>
  <c r="BG17" i="34"/>
  <c r="BF17" i="34"/>
  <c r="BE17" i="34"/>
  <c r="BD17" i="34"/>
  <c r="BC17" i="34"/>
  <c r="BB17" i="34"/>
  <c r="BA17" i="34"/>
  <c r="AZ17" i="34"/>
  <c r="AY17" i="34"/>
  <c r="BJ16" i="34"/>
  <c r="BI16" i="34"/>
  <c r="BH16" i="34"/>
  <c r="BG16" i="34"/>
  <c r="BF16" i="34"/>
  <c r="BE16" i="34"/>
  <c r="BD16" i="34"/>
  <c r="BC16" i="34"/>
  <c r="BB16" i="34"/>
  <c r="BA16" i="34"/>
  <c r="AZ16" i="34"/>
  <c r="AY16" i="34"/>
  <c r="BJ15" i="34"/>
  <c r="BI15" i="34"/>
  <c r="BH15" i="34"/>
  <c r="BG15" i="34"/>
  <c r="BF15" i="34"/>
  <c r="BE15" i="34"/>
  <c r="BD15" i="34"/>
  <c r="BC15" i="34"/>
  <c r="BB15" i="34"/>
  <c r="BA15" i="34"/>
  <c r="AZ15" i="34"/>
  <c r="AY15" i="34"/>
  <c r="BJ14" i="34"/>
  <c r="BI14" i="34"/>
  <c r="BH14" i="34"/>
  <c r="BG14" i="34"/>
  <c r="BF14" i="34"/>
  <c r="BE14" i="34"/>
  <c r="BD14" i="34"/>
  <c r="BC14" i="34"/>
  <c r="BB14" i="34"/>
  <c r="BA14" i="34"/>
  <c r="AZ14" i="34"/>
  <c r="AY14" i="34"/>
  <c r="BJ13" i="34"/>
  <c r="BI13" i="34"/>
  <c r="BH13" i="34"/>
  <c r="BG13" i="34"/>
  <c r="BF13" i="34"/>
  <c r="BE13" i="34"/>
  <c r="BD13" i="34"/>
  <c r="BC13" i="34"/>
  <c r="BB13" i="34"/>
  <c r="BA13" i="34"/>
  <c r="AZ13" i="34"/>
  <c r="AY13" i="34"/>
  <c r="BJ12" i="34"/>
  <c r="BI12" i="34"/>
  <c r="BH12" i="34"/>
  <c r="BG12" i="34"/>
  <c r="BF12" i="34"/>
  <c r="BE12" i="34"/>
  <c r="BD12" i="34"/>
  <c r="BC12" i="34"/>
  <c r="BB12" i="34"/>
  <c r="BA12" i="34"/>
  <c r="AZ12" i="34"/>
  <c r="AY12" i="34"/>
  <c r="BJ11" i="34"/>
  <c r="BI11" i="34"/>
  <c r="BH11" i="34"/>
  <c r="BG11" i="34"/>
  <c r="BF11" i="34"/>
  <c r="BE11" i="34"/>
  <c r="BD11" i="34"/>
  <c r="BC11" i="34"/>
  <c r="BB11" i="34"/>
  <c r="BA11" i="34"/>
  <c r="AZ11" i="34"/>
  <c r="AY11" i="34"/>
  <c r="BJ10" i="34"/>
  <c r="BI10" i="34"/>
  <c r="BH10" i="34"/>
  <c r="BG10" i="34"/>
  <c r="BF10" i="34"/>
  <c r="BE10" i="34"/>
  <c r="BD10" i="34"/>
  <c r="BC10" i="34"/>
  <c r="BB10" i="34"/>
  <c r="BA10" i="34"/>
  <c r="AZ10" i="34"/>
  <c r="AY10" i="34"/>
  <c r="BJ9" i="34"/>
  <c r="BI9" i="34"/>
  <c r="BH9" i="34"/>
  <c r="BG9" i="34"/>
  <c r="BF9" i="34"/>
  <c r="BE9" i="34"/>
  <c r="BD9" i="34"/>
  <c r="BC9" i="34"/>
  <c r="BB9" i="34"/>
  <c r="BA9" i="34"/>
  <c r="AZ9" i="34"/>
  <c r="AY9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BJ7" i="34"/>
  <c r="BI7" i="34"/>
  <c r="BH7" i="34"/>
  <c r="BG7" i="34"/>
  <c r="BF7" i="34"/>
  <c r="BE7" i="34"/>
  <c r="BD7" i="34"/>
  <c r="BC7" i="34"/>
  <c r="BB7" i="34"/>
  <c r="BA7" i="34"/>
  <c r="AZ7" i="34"/>
  <c r="AY7" i="34"/>
  <c r="BJ6" i="34"/>
  <c r="BI6" i="34"/>
  <c r="BH6" i="34"/>
  <c r="BG6" i="34"/>
  <c r="BF6" i="34"/>
  <c r="BE6" i="34"/>
  <c r="BD6" i="34"/>
  <c r="BC6" i="34"/>
  <c r="BB6" i="34"/>
  <c r="BA6" i="34"/>
  <c r="AZ6" i="34"/>
  <c r="AY6" i="34"/>
  <c r="BJ5" i="34"/>
  <c r="BI5" i="34"/>
  <c r="BH5" i="34"/>
  <c r="BG5" i="34"/>
  <c r="BF5" i="34"/>
  <c r="BE5" i="34"/>
  <c r="BD5" i="34"/>
  <c r="BC5" i="34"/>
  <c r="BB5" i="34"/>
  <c r="BA5" i="34"/>
  <c r="AZ5" i="34"/>
  <c r="AY5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V5" i="34"/>
  <c r="AU5" i="34"/>
  <c r="AT5" i="34"/>
  <c r="AS5" i="34"/>
  <c r="AR5" i="34"/>
  <c r="AQ5" i="34"/>
  <c r="AP5" i="34"/>
  <c r="AO5" i="34"/>
  <c r="AM5" i="34"/>
  <c r="AL5" i="34"/>
  <c r="AK5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W34" i="34"/>
  <c r="X34" i="34"/>
  <c r="Y34" i="34"/>
  <c r="Z34" i="34"/>
  <c r="AA34" i="34"/>
  <c r="AB34" i="34"/>
  <c r="AC34" i="34"/>
  <c r="AD34" i="34"/>
  <c r="AE34" i="34"/>
  <c r="AF34" i="34"/>
  <c r="AG34" i="34"/>
  <c r="AH34" i="34"/>
  <c r="W35" i="34"/>
  <c r="X35" i="34"/>
  <c r="Y35" i="34"/>
  <c r="Z35" i="34"/>
  <c r="AA35" i="34"/>
  <c r="AB35" i="34"/>
  <c r="AC35" i="34"/>
  <c r="AD35" i="34"/>
  <c r="AE35" i="34"/>
  <c r="AF35" i="34"/>
  <c r="AG35" i="34"/>
  <c r="AH35" i="34"/>
  <c r="W36" i="34"/>
  <c r="X36" i="34"/>
  <c r="Y36" i="34"/>
  <c r="Z36" i="34"/>
  <c r="AA36" i="34"/>
  <c r="AB36" i="34"/>
  <c r="AC36" i="34"/>
  <c r="AD36" i="34"/>
  <c r="AE36" i="34"/>
  <c r="AF36" i="34"/>
  <c r="AG36" i="34"/>
  <c r="AH36" i="34"/>
  <c r="W37" i="34"/>
  <c r="X37" i="34"/>
  <c r="Y37" i="34"/>
  <c r="Z37" i="34"/>
  <c r="AA37" i="34"/>
  <c r="AB37" i="34"/>
  <c r="AC37" i="34"/>
  <c r="AD37" i="34"/>
  <c r="AE37" i="34"/>
  <c r="AF37" i="34"/>
  <c r="AG37" i="34"/>
  <c r="AH37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W39" i="34"/>
  <c r="X39" i="34"/>
  <c r="Y39" i="34"/>
  <c r="Z39" i="34"/>
  <c r="AA39" i="34"/>
  <c r="AB39" i="34"/>
  <c r="AC39" i="34"/>
  <c r="AD39" i="34"/>
  <c r="AE39" i="34"/>
  <c r="AF39" i="34"/>
  <c r="AG39" i="34"/>
  <c r="AH39" i="34"/>
  <c r="W40" i="34"/>
  <c r="X40" i="34"/>
  <c r="Y40" i="34"/>
  <c r="Z40" i="34"/>
  <c r="AA40" i="34"/>
  <c r="AB40" i="34"/>
  <c r="AC40" i="34"/>
  <c r="AD40" i="34"/>
  <c r="AE40" i="34"/>
  <c r="AF40" i="34"/>
  <c r="AG40" i="34"/>
  <c r="AH40" i="34"/>
  <c r="W41" i="34"/>
  <c r="X41" i="34"/>
  <c r="Y41" i="34"/>
  <c r="Z41" i="34"/>
  <c r="AA41" i="34"/>
  <c r="AB41" i="34"/>
  <c r="AC41" i="34"/>
  <c r="AD41" i="34"/>
  <c r="AE41" i="34"/>
  <c r="AF41" i="34"/>
  <c r="AG41" i="34"/>
  <c r="AH41" i="34"/>
  <c r="W42" i="34"/>
  <c r="X42" i="34"/>
  <c r="Y42" i="34"/>
  <c r="Z42" i="34"/>
  <c r="AA42" i="34"/>
  <c r="AB42" i="34"/>
  <c r="AC42" i="34"/>
  <c r="AD42" i="34"/>
  <c r="AE42" i="34"/>
  <c r="AF42" i="34"/>
  <c r="AG42" i="34"/>
  <c r="AH42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W44" i="34"/>
  <c r="X44" i="34"/>
  <c r="Y44" i="34"/>
  <c r="Z44" i="34"/>
  <c r="AA44" i="34"/>
  <c r="AB44" i="34"/>
  <c r="AC44" i="34"/>
  <c r="AD44" i="34"/>
  <c r="AE44" i="34"/>
  <c r="AF44" i="34"/>
  <c r="AG44" i="34"/>
  <c r="AH44" i="34"/>
  <c r="W45" i="34"/>
  <c r="X45" i="34"/>
  <c r="Y45" i="34"/>
  <c r="Z45" i="34"/>
  <c r="AA45" i="34"/>
  <c r="AB45" i="34"/>
  <c r="AC45" i="34"/>
  <c r="AD45" i="34"/>
  <c r="AE45" i="34"/>
  <c r="AF45" i="34"/>
  <c r="AG45" i="34"/>
  <c r="AH45" i="34"/>
  <c r="W46" i="34"/>
  <c r="X46" i="34"/>
  <c r="Y46" i="34"/>
  <c r="Z46" i="34"/>
  <c r="AA46" i="34"/>
  <c r="AB46" i="34"/>
  <c r="AC46" i="34"/>
  <c r="AD46" i="34"/>
  <c r="AE46" i="34"/>
  <c r="AF46" i="34"/>
  <c r="AG46" i="34"/>
  <c r="AH46" i="34"/>
  <c r="W47" i="34"/>
  <c r="X47" i="34"/>
  <c r="Y47" i="34"/>
  <c r="Z47" i="34"/>
  <c r="AA47" i="34"/>
  <c r="AB47" i="34"/>
  <c r="AC47" i="34"/>
  <c r="AD47" i="34"/>
  <c r="AE47" i="34"/>
  <c r="AF47" i="34"/>
  <c r="AG47" i="34"/>
  <c r="AH47" i="34"/>
  <c r="W48" i="34"/>
  <c r="X48" i="34"/>
  <c r="Y48" i="34"/>
  <c r="Z48" i="34"/>
  <c r="AA48" i="34"/>
  <c r="AB48" i="34"/>
  <c r="AC48" i="34"/>
  <c r="AD48" i="34"/>
  <c r="AE48" i="34"/>
  <c r="AF48" i="34"/>
  <c r="AG48" i="34"/>
  <c r="AH48" i="34"/>
  <c r="W49" i="34"/>
  <c r="X49" i="34"/>
  <c r="Y49" i="34"/>
  <c r="Z49" i="34"/>
  <c r="AA49" i="34"/>
  <c r="AB49" i="34"/>
  <c r="AC49" i="34"/>
  <c r="AD49" i="34"/>
  <c r="AE49" i="34"/>
  <c r="AF49" i="34"/>
  <c r="AG49" i="34"/>
  <c r="AH49" i="34"/>
  <c r="W50" i="34"/>
  <c r="X50" i="34"/>
  <c r="Y50" i="34"/>
  <c r="Z50" i="34"/>
  <c r="AA50" i="34"/>
  <c r="AB50" i="34"/>
  <c r="AC50" i="34"/>
  <c r="AD50" i="34"/>
  <c r="AE50" i="34"/>
  <c r="AF50" i="34"/>
  <c r="AG50" i="34"/>
  <c r="AH50" i="34"/>
  <c r="W51" i="34"/>
  <c r="X51" i="34"/>
  <c r="Y51" i="34"/>
  <c r="Z51" i="34"/>
  <c r="AA51" i="34"/>
  <c r="AB51" i="34"/>
  <c r="AC51" i="34"/>
  <c r="AD51" i="34"/>
  <c r="AE51" i="34"/>
  <c r="AF51" i="34"/>
  <c r="AG51" i="34"/>
  <c r="AH51" i="34"/>
  <c r="X32" i="34"/>
  <c r="Y32" i="34"/>
  <c r="Z32" i="34"/>
  <c r="AA32" i="34"/>
  <c r="AB32" i="34"/>
  <c r="AC32" i="34"/>
  <c r="AD32" i="34"/>
  <c r="AE32" i="34"/>
  <c r="AF32" i="34"/>
  <c r="AG32" i="34"/>
  <c r="AH32" i="34"/>
  <c r="W32" i="34"/>
  <c r="W6" i="34"/>
  <c r="X6" i="34"/>
  <c r="Y6" i="34"/>
  <c r="Z6" i="34"/>
  <c r="AA6" i="34"/>
  <c r="AB6" i="34"/>
  <c r="AC6" i="34"/>
  <c r="AD6" i="34"/>
  <c r="AE6" i="34"/>
  <c r="AF6" i="34"/>
  <c r="AG6" i="34"/>
  <c r="AH6" i="34"/>
  <c r="W7" i="34"/>
  <c r="X7" i="34"/>
  <c r="Y7" i="34"/>
  <c r="Z7" i="34"/>
  <c r="AA7" i="34"/>
  <c r="AB7" i="34"/>
  <c r="AC7" i="34"/>
  <c r="AD7" i="34"/>
  <c r="AE7" i="34"/>
  <c r="AF7" i="34"/>
  <c r="AG7" i="34"/>
  <c r="AH7" i="34"/>
  <c r="W8" i="34"/>
  <c r="X8" i="34"/>
  <c r="Y8" i="34"/>
  <c r="Z8" i="34"/>
  <c r="AA8" i="34"/>
  <c r="AB8" i="34"/>
  <c r="AC8" i="34"/>
  <c r="AD8" i="34"/>
  <c r="AE8" i="34"/>
  <c r="AF8" i="34"/>
  <c r="AG8" i="34"/>
  <c r="AH8" i="34"/>
  <c r="W9" i="34"/>
  <c r="X9" i="34"/>
  <c r="Y9" i="34"/>
  <c r="Z9" i="34"/>
  <c r="AA9" i="34"/>
  <c r="AB9" i="34"/>
  <c r="AC9" i="34"/>
  <c r="AD9" i="34"/>
  <c r="AE9" i="34"/>
  <c r="AF9" i="34"/>
  <c r="AG9" i="34"/>
  <c r="AH9" i="34"/>
  <c r="W10" i="34"/>
  <c r="X10" i="34"/>
  <c r="Y10" i="34"/>
  <c r="Z10" i="34"/>
  <c r="AA10" i="34"/>
  <c r="AB10" i="34"/>
  <c r="AC10" i="34"/>
  <c r="AD10" i="34"/>
  <c r="AE10" i="34"/>
  <c r="AF10" i="34"/>
  <c r="AG10" i="34"/>
  <c r="AH10" i="34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W12" i="34"/>
  <c r="X12" i="34"/>
  <c r="Y12" i="34"/>
  <c r="Z12" i="34"/>
  <c r="AA12" i="34"/>
  <c r="AB12" i="34"/>
  <c r="AC12" i="34"/>
  <c r="AD12" i="34"/>
  <c r="AE12" i="34"/>
  <c r="AF12" i="34"/>
  <c r="AG12" i="34"/>
  <c r="AH12" i="34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W14" i="34"/>
  <c r="X14" i="34"/>
  <c r="Y14" i="34"/>
  <c r="Z14" i="34"/>
  <c r="AA14" i="34"/>
  <c r="AB14" i="34"/>
  <c r="AC14" i="34"/>
  <c r="AD14" i="34"/>
  <c r="AE14" i="34"/>
  <c r="AF14" i="34"/>
  <c r="AG14" i="34"/>
  <c r="AH14" i="34"/>
  <c r="W15" i="34"/>
  <c r="X15" i="34"/>
  <c r="Y15" i="34"/>
  <c r="Z15" i="34"/>
  <c r="AA15" i="34"/>
  <c r="AB15" i="34"/>
  <c r="AC15" i="34"/>
  <c r="AD15" i="34"/>
  <c r="AE15" i="34"/>
  <c r="AF15" i="34"/>
  <c r="AG15" i="34"/>
  <c r="AH15" i="34"/>
  <c r="W16" i="34"/>
  <c r="X16" i="34"/>
  <c r="Y16" i="34"/>
  <c r="Z16" i="34"/>
  <c r="AA16" i="34"/>
  <c r="AB16" i="34"/>
  <c r="AC16" i="34"/>
  <c r="AD16" i="34"/>
  <c r="AE16" i="34"/>
  <c r="AF16" i="34"/>
  <c r="AG16" i="34"/>
  <c r="AH16" i="34"/>
  <c r="W17" i="34"/>
  <c r="X17" i="34"/>
  <c r="Y17" i="34"/>
  <c r="Z17" i="34"/>
  <c r="AA17" i="34"/>
  <c r="AB17" i="34"/>
  <c r="AC17" i="34"/>
  <c r="AD17" i="34"/>
  <c r="AE17" i="34"/>
  <c r="AF17" i="34"/>
  <c r="AG17" i="34"/>
  <c r="AH17" i="34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W21" i="34"/>
  <c r="X21" i="34"/>
  <c r="Y21" i="34"/>
  <c r="Z21" i="34"/>
  <c r="AA21" i="34"/>
  <c r="AB21" i="34"/>
  <c r="AC21" i="34"/>
  <c r="AD21" i="34"/>
  <c r="AE21" i="34"/>
  <c r="AF21" i="34"/>
  <c r="AG21" i="34"/>
  <c r="AH21" i="34"/>
  <c r="W22" i="34"/>
  <c r="X22" i="34"/>
  <c r="Y22" i="34"/>
  <c r="Z22" i="34"/>
  <c r="AA22" i="34"/>
  <c r="AB22" i="34"/>
  <c r="AC22" i="34"/>
  <c r="AD22" i="34"/>
  <c r="AE22" i="34"/>
  <c r="AF22" i="34"/>
  <c r="AG22" i="34"/>
  <c r="AH22" i="34"/>
  <c r="W23" i="34"/>
  <c r="X23" i="34"/>
  <c r="Y23" i="34"/>
  <c r="Z23" i="34"/>
  <c r="AA23" i="34"/>
  <c r="AB23" i="34"/>
  <c r="AC23" i="34"/>
  <c r="AD23" i="34"/>
  <c r="AE23" i="34"/>
  <c r="AF23" i="34"/>
  <c r="AG23" i="34"/>
  <c r="AH23" i="34"/>
  <c r="W24" i="34"/>
  <c r="X24" i="34"/>
  <c r="Y24" i="34"/>
  <c r="Z24" i="34"/>
  <c r="AA24" i="34"/>
  <c r="AB24" i="34"/>
  <c r="AC24" i="34"/>
  <c r="AD24" i="34"/>
  <c r="AE24" i="34"/>
  <c r="AF24" i="34"/>
  <c r="AG24" i="34"/>
  <c r="AH24" i="34"/>
  <c r="X5" i="34"/>
  <c r="Y5" i="34"/>
  <c r="Z5" i="34"/>
  <c r="AA5" i="34"/>
  <c r="AB5" i="34"/>
  <c r="AC5" i="34"/>
  <c r="AD5" i="34"/>
  <c r="AE5" i="34"/>
  <c r="AF5" i="34"/>
  <c r="AG5" i="34"/>
  <c r="AH5" i="34"/>
  <c r="W5" i="34"/>
  <c r="W241" i="34"/>
  <c r="V241" i="34"/>
  <c r="W240" i="34"/>
  <c r="V240" i="34"/>
  <c r="W239" i="34"/>
  <c r="V239" i="34"/>
  <c r="W238" i="34"/>
  <c r="V238" i="34"/>
  <c r="W237" i="34"/>
  <c r="V237" i="34"/>
  <c r="W236" i="34"/>
  <c r="V236" i="34"/>
  <c r="W235" i="34"/>
  <c r="V235" i="34"/>
  <c r="W234" i="34"/>
  <c r="V234" i="34"/>
  <c r="W233" i="34"/>
  <c r="V233" i="34"/>
  <c r="W232" i="34"/>
  <c r="V232" i="34"/>
  <c r="W231" i="34"/>
  <c r="V231" i="34"/>
  <c r="W230" i="34"/>
  <c r="V230" i="34"/>
  <c r="W229" i="34"/>
  <c r="V229" i="34"/>
  <c r="W228" i="34"/>
  <c r="V228" i="34"/>
  <c r="W227" i="34"/>
  <c r="V227" i="34"/>
  <c r="W226" i="34"/>
  <c r="V226" i="34"/>
  <c r="W225" i="34"/>
  <c r="V225" i="34"/>
  <c r="W224" i="34"/>
  <c r="V224" i="34"/>
  <c r="W223" i="34"/>
  <c r="V223" i="34"/>
  <c r="W222" i="34"/>
  <c r="V222" i="34"/>
  <c r="W221" i="34"/>
  <c r="V221" i="34"/>
  <c r="W220" i="34"/>
  <c r="V220" i="34"/>
  <c r="W219" i="34"/>
  <c r="V219" i="34"/>
  <c r="W218" i="34"/>
  <c r="V218" i="34"/>
  <c r="W217" i="34"/>
  <c r="V217" i="34"/>
  <c r="W216" i="34"/>
  <c r="V216" i="34"/>
  <c r="W215" i="34"/>
  <c r="V215" i="34"/>
  <c r="W214" i="34"/>
  <c r="V214" i="34"/>
  <c r="W213" i="34"/>
  <c r="V213" i="34"/>
  <c r="W212" i="34"/>
  <c r="V212" i="34"/>
  <c r="W211" i="34"/>
  <c r="V211" i="34"/>
  <c r="W210" i="34"/>
  <c r="V210" i="34"/>
  <c r="W209" i="34"/>
  <c r="V209" i="34"/>
  <c r="W208" i="34"/>
  <c r="V208" i="34"/>
  <c r="W207" i="34"/>
  <c r="V207" i="34"/>
  <c r="W206" i="34"/>
  <c r="V206" i="34"/>
  <c r="W205" i="34"/>
  <c r="V205" i="34"/>
  <c r="W204" i="34"/>
  <c r="V204" i="34"/>
  <c r="W203" i="34"/>
  <c r="V203" i="34"/>
  <c r="W202" i="34"/>
  <c r="V202" i="34"/>
  <c r="W201" i="34"/>
  <c r="V201" i="34"/>
  <c r="W200" i="34"/>
  <c r="V200" i="34"/>
  <c r="W199" i="34"/>
  <c r="V199" i="34"/>
  <c r="W198" i="34"/>
  <c r="V198" i="34"/>
  <c r="W197" i="34"/>
  <c r="V197" i="34"/>
  <c r="W196" i="34"/>
  <c r="V196" i="34"/>
  <c r="W195" i="34"/>
  <c r="V195" i="34"/>
  <c r="W194" i="34"/>
  <c r="V194" i="34"/>
  <c r="W193" i="34"/>
  <c r="V193" i="34"/>
  <c r="W192" i="34"/>
  <c r="V192" i="34"/>
  <c r="W191" i="34"/>
  <c r="V191" i="34"/>
  <c r="W190" i="34"/>
  <c r="V190" i="34"/>
  <c r="W189" i="34"/>
  <c r="V189" i="34"/>
  <c r="W188" i="34"/>
  <c r="V188" i="34"/>
  <c r="W187" i="34"/>
  <c r="V187" i="34"/>
  <c r="W186" i="34"/>
  <c r="V186" i="34"/>
  <c r="W185" i="34"/>
  <c r="V185" i="34"/>
  <c r="W184" i="34"/>
  <c r="V184" i="34"/>
  <c r="W183" i="34"/>
  <c r="V183" i="34"/>
  <c r="W182" i="34"/>
  <c r="V182" i="34"/>
  <c r="W181" i="34"/>
  <c r="V181" i="34"/>
  <c r="W180" i="34"/>
  <c r="V180" i="34"/>
  <c r="W179" i="34"/>
  <c r="V179" i="34"/>
  <c r="W178" i="34"/>
  <c r="V178" i="34"/>
  <c r="W177" i="34"/>
  <c r="V177" i="34"/>
  <c r="W176" i="34"/>
  <c r="V176" i="34"/>
  <c r="W175" i="34"/>
  <c r="V175" i="34"/>
  <c r="W174" i="34"/>
  <c r="V174" i="34"/>
  <c r="W173" i="34"/>
  <c r="V173" i="34"/>
  <c r="W172" i="34"/>
  <c r="V172" i="34"/>
  <c r="V171" i="34"/>
  <c r="W170" i="34"/>
  <c r="V170" i="34"/>
  <c r="W169" i="34"/>
  <c r="V169" i="34"/>
  <c r="W168" i="34"/>
  <c r="V168" i="34"/>
  <c r="W167" i="34"/>
  <c r="V167" i="34"/>
  <c r="W166" i="34"/>
  <c r="V166" i="34"/>
  <c r="W165" i="34"/>
  <c r="V165" i="34"/>
  <c r="W164" i="34"/>
  <c r="V164" i="34"/>
  <c r="W163" i="34"/>
  <c r="V163" i="34"/>
  <c r="W162" i="34"/>
  <c r="V162" i="34"/>
  <c r="W161" i="34"/>
  <c r="V161" i="34"/>
  <c r="W160" i="34"/>
  <c r="V160" i="34"/>
  <c r="W159" i="34"/>
  <c r="V159" i="34"/>
  <c r="W158" i="34"/>
  <c r="V158" i="34"/>
  <c r="W157" i="34"/>
  <c r="V157" i="34"/>
  <c r="W156" i="34"/>
  <c r="V156" i="34"/>
  <c r="W155" i="34"/>
  <c r="V155" i="34"/>
  <c r="W154" i="34"/>
  <c r="V154" i="34"/>
  <c r="W153" i="34"/>
  <c r="V153" i="34"/>
  <c r="W152" i="34"/>
  <c r="V152" i="34"/>
  <c r="W151" i="34"/>
  <c r="V151" i="34"/>
  <c r="W150" i="34"/>
  <c r="V150" i="34"/>
  <c r="W149" i="34"/>
  <c r="V149" i="34"/>
  <c r="W148" i="34"/>
  <c r="V148" i="34"/>
  <c r="W147" i="34"/>
  <c r="V147" i="34"/>
  <c r="W146" i="34"/>
  <c r="V146" i="34"/>
  <c r="W145" i="34"/>
  <c r="V145" i="34"/>
  <c r="W144" i="34"/>
  <c r="V144" i="34"/>
  <c r="W143" i="34"/>
  <c r="V143" i="34"/>
  <c r="W142" i="34"/>
  <c r="V142" i="34"/>
  <c r="W141" i="34"/>
  <c r="V141" i="34"/>
  <c r="W140" i="34"/>
  <c r="V140" i="34"/>
  <c r="W139" i="34"/>
  <c r="V139" i="34"/>
  <c r="W138" i="34"/>
  <c r="V138" i="34"/>
  <c r="W137" i="34"/>
  <c r="V137" i="34"/>
  <c r="W136" i="34"/>
  <c r="V136" i="34"/>
  <c r="W135" i="34"/>
  <c r="V135" i="34"/>
  <c r="W134" i="34"/>
  <c r="V134" i="34"/>
  <c r="W133" i="34"/>
  <c r="V133" i="34"/>
  <c r="W132" i="34"/>
  <c r="V132" i="34"/>
  <c r="W131" i="34"/>
  <c r="V131" i="34"/>
  <c r="W130" i="34"/>
  <c r="V130" i="34"/>
  <c r="W129" i="34"/>
  <c r="V129" i="34"/>
  <c r="W128" i="34"/>
  <c r="V128" i="34"/>
  <c r="W127" i="34"/>
  <c r="V127" i="34"/>
  <c r="W126" i="34"/>
  <c r="V126" i="34"/>
  <c r="W125" i="34"/>
  <c r="V125" i="34"/>
  <c r="W124" i="34"/>
  <c r="V124" i="34"/>
  <c r="W123" i="34"/>
  <c r="V123" i="34"/>
  <c r="CN33" i="34"/>
  <c r="CN34" i="34" s="1"/>
  <c r="CN35" i="34" s="1"/>
  <c r="BZ33" i="34"/>
  <c r="BL33" i="34"/>
  <c r="AX33" i="34"/>
  <c r="AX34" i="34" s="1"/>
  <c r="AJ33" i="34"/>
  <c r="AJ34" i="34" s="1"/>
  <c r="AJ35" i="34" s="1"/>
  <c r="V33" i="34"/>
  <c r="CN31" i="34"/>
  <c r="CQ60" i="34" s="1"/>
  <c r="CV60" i="34" s="1"/>
  <c r="BZ31" i="34"/>
  <c r="CC60" i="34" s="1"/>
  <c r="CH60" i="34" s="1"/>
  <c r="BL31" i="34"/>
  <c r="BO60" i="34" s="1"/>
  <c r="BT60" i="34" s="1"/>
  <c r="AX31" i="34"/>
  <c r="BA60" i="34" s="1"/>
  <c r="BF60" i="34" s="1"/>
  <c r="AJ31" i="34"/>
  <c r="AM60" i="34" s="1"/>
  <c r="AR60" i="34" s="1"/>
  <c r="V31" i="34"/>
  <c r="Y60" i="34" s="1"/>
  <c r="AD60" i="34" s="1"/>
  <c r="CN6" i="34"/>
  <c r="CN7" i="34" s="1"/>
  <c r="CN8" i="34" s="1"/>
  <c r="CN9" i="34" s="1"/>
  <c r="CN10" i="34" s="1"/>
  <c r="CN11" i="34" s="1"/>
  <c r="CN12" i="34" s="1"/>
  <c r="CN13" i="34" s="1"/>
  <c r="CN14" i="34" s="1"/>
  <c r="CN15" i="34" s="1"/>
  <c r="CN16" i="34" s="1"/>
  <c r="CN17" i="34" s="1"/>
  <c r="CN18" i="34" s="1"/>
  <c r="CN19" i="34" s="1"/>
  <c r="CN20" i="34" s="1"/>
  <c r="CN21" i="34" s="1"/>
  <c r="CN22" i="34" s="1"/>
  <c r="CN23" i="34" s="1"/>
  <c r="CN24" i="34" s="1"/>
  <c r="CN25" i="34" s="1"/>
  <c r="CN26" i="34" s="1"/>
  <c r="BZ6" i="34"/>
  <c r="BL6" i="34"/>
  <c r="AX6" i="34"/>
  <c r="AX7" i="34" s="1"/>
  <c r="AX8" i="34" s="1"/>
  <c r="AX9" i="34" s="1"/>
  <c r="AJ6" i="34"/>
  <c r="AJ7" i="34" s="1"/>
  <c r="AJ8" i="34" s="1"/>
  <c r="AJ9" i="34" s="1"/>
  <c r="AJ10" i="34" s="1"/>
  <c r="AJ11" i="34" s="1"/>
  <c r="AJ12" i="34" s="1"/>
  <c r="AJ13" i="34" s="1"/>
  <c r="AJ14" i="34" s="1"/>
  <c r="AJ15" i="34" s="1"/>
  <c r="AJ16" i="34" s="1"/>
  <c r="AJ17" i="34" s="1"/>
  <c r="AJ18" i="34" s="1"/>
  <c r="AJ19" i="34" s="1"/>
  <c r="AJ20" i="34" s="1"/>
  <c r="AJ21" i="34" s="1"/>
  <c r="AJ22" i="34" s="1"/>
  <c r="AJ23" i="34" s="1"/>
  <c r="AJ24" i="34" s="1"/>
  <c r="AJ25" i="34" s="1"/>
  <c r="AJ26" i="34" s="1"/>
  <c r="V6" i="34"/>
  <c r="CN4" i="34"/>
  <c r="CP60" i="34" s="1"/>
  <c r="CU60" i="34" s="1"/>
  <c r="BZ4" i="34"/>
  <c r="CB60" i="34" s="1"/>
  <c r="CG60" i="34" s="1"/>
  <c r="BL4" i="34"/>
  <c r="BN60" i="34" s="1"/>
  <c r="BS60" i="34" s="1"/>
  <c r="AX4" i="34"/>
  <c r="AZ60" i="34" s="1"/>
  <c r="BE60" i="34" s="1"/>
  <c r="AJ4" i="34"/>
  <c r="AL60" i="34" s="1"/>
  <c r="AQ60" i="34" s="1"/>
  <c r="V4" i="34"/>
  <c r="X60" i="34" s="1"/>
  <c r="AC60" i="34" s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56" i="32"/>
  <c r="C57" i="32"/>
  <c r="C58" i="32"/>
  <c r="C59" i="32"/>
  <c r="C60" i="32"/>
  <c r="C61" i="32"/>
  <c r="C62" i="32"/>
  <c r="C63" i="32"/>
  <c r="C64" i="32"/>
  <c r="C65" i="32"/>
  <c r="C66" i="32"/>
  <c r="C67" i="32"/>
  <c r="C68" i="32"/>
  <c r="C69" i="32"/>
  <c r="C70" i="32"/>
  <c r="C71" i="32"/>
  <c r="C72" i="32"/>
  <c r="C73" i="32"/>
  <c r="C74" i="32"/>
  <c r="C75" i="32"/>
  <c r="C76" i="32"/>
  <c r="C77" i="32"/>
  <c r="C78" i="32"/>
  <c r="C79" i="32"/>
  <c r="C80" i="32"/>
  <c r="C81" i="32"/>
  <c r="C82" i="32"/>
  <c r="C83" i="32"/>
  <c r="C84" i="32"/>
  <c r="C85" i="32"/>
  <c r="C86" i="32"/>
  <c r="C87" i="32"/>
  <c r="C88" i="32"/>
  <c r="C89" i="32"/>
  <c r="C90" i="32"/>
  <c r="C91" i="32"/>
  <c r="C92" i="32"/>
  <c r="C93" i="32"/>
  <c r="C94" i="32"/>
  <c r="C95" i="32"/>
  <c r="C96" i="32"/>
  <c r="C97" i="32"/>
  <c r="C98" i="32"/>
  <c r="C99" i="32"/>
  <c r="C100" i="32"/>
  <c r="C101" i="32"/>
  <c r="C102" i="32"/>
  <c r="C103" i="32"/>
  <c r="C104" i="32"/>
  <c r="C105" i="32"/>
  <c r="C106" i="32"/>
  <c r="C107" i="32"/>
  <c r="C108" i="32"/>
  <c r="C109" i="32"/>
  <c r="C110" i="32"/>
  <c r="C111" i="32"/>
  <c r="C112" i="32"/>
  <c r="C113" i="32"/>
  <c r="C114" i="32"/>
  <c r="C115" i="32"/>
  <c r="C116" i="32"/>
  <c r="C117" i="32"/>
  <c r="C118" i="32"/>
  <c r="C119" i="32"/>
  <c r="C120" i="32"/>
  <c r="C121" i="32"/>
  <c r="C122" i="32"/>
  <c r="C123" i="32"/>
  <c r="C124" i="32"/>
  <c r="C125" i="32"/>
  <c r="C126" i="32"/>
  <c r="C127" i="32"/>
  <c r="C128" i="32"/>
  <c r="C129" i="32"/>
  <c r="C130" i="32"/>
  <c r="C131" i="32"/>
  <c r="C132" i="32"/>
  <c r="C133" i="32"/>
  <c r="C134" i="32"/>
  <c r="C135" i="32"/>
  <c r="C136" i="32"/>
  <c r="C137" i="32"/>
  <c r="C138" i="32"/>
  <c r="C139" i="32"/>
  <c r="C140" i="32"/>
  <c r="C141" i="32"/>
  <c r="C142" i="32"/>
  <c r="C143" i="32"/>
  <c r="C144" i="32"/>
  <c r="C145" i="32"/>
  <c r="C2" i="32"/>
  <c r="AK28" i="34" l="1"/>
  <c r="BA55" i="34"/>
  <c r="BA63" i="34" s="1"/>
  <c r="BE55" i="34"/>
  <c r="BA67" i="34" s="1"/>
  <c r="BI55" i="34"/>
  <c r="BA71" i="34" s="1"/>
  <c r="AY55" i="34"/>
  <c r="BA61" i="34" s="1"/>
  <c r="BC55" i="34"/>
  <c r="BA65" i="34" s="1"/>
  <c r="BG55" i="34"/>
  <c r="BA69" i="34" s="1"/>
  <c r="BB52" i="34" a="1"/>
  <c r="BB52" i="34" s="1"/>
  <c r="BB55" i="34"/>
  <c r="BA64" i="34" s="1"/>
  <c r="BF55" i="34"/>
  <c r="BA68" i="34" s="1"/>
  <c r="BJ55" i="34"/>
  <c r="BA72" i="34" s="1"/>
  <c r="AZ55" i="34"/>
  <c r="BA62" i="34" s="1"/>
  <c r="BD55" i="34"/>
  <c r="BA66" i="34" s="1"/>
  <c r="BH55" i="34"/>
  <c r="BA70" i="34" s="1"/>
  <c r="BA52" i="34"/>
  <c r="BA53" i="34"/>
  <c r="D121" i="43"/>
  <c r="D121" i="39"/>
  <c r="D117" i="43"/>
  <c r="D117" i="39"/>
  <c r="D113" i="43"/>
  <c r="D113" i="39"/>
  <c r="D109" i="43"/>
  <c r="D109" i="39"/>
  <c r="D105" i="43"/>
  <c r="D105" i="39"/>
  <c r="D101" i="43"/>
  <c r="D101" i="39"/>
  <c r="D97" i="43"/>
  <c r="D97" i="39"/>
  <c r="D93" i="43"/>
  <c r="D93" i="39"/>
  <c r="D89" i="43"/>
  <c r="D89" i="39"/>
  <c r="D85" i="43"/>
  <c r="D85" i="39"/>
  <c r="D81" i="43"/>
  <c r="D81" i="39"/>
  <c r="D77" i="43"/>
  <c r="D77" i="39"/>
  <c r="D73" i="43"/>
  <c r="D73" i="39"/>
  <c r="D69" i="43"/>
  <c r="D69" i="39"/>
  <c r="D65" i="43"/>
  <c r="D65" i="39"/>
  <c r="D61" i="43"/>
  <c r="D61" i="39"/>
  <c r="D57" i="43"/>
  <c r="D57" i="39"/>
  <c r="D53" i="43"/>
  <c r="D53" i="39"/>
  <c r="D49" i="43"/>
  <c r="D49" i="39"/>
  <c r="D45" i="43"/>
  <c r="D45" i="39"/>
  <c r="D41" i="43"/>
  <c r="D41" i="39"/>
  <c r="D37" i="43"/>
  <c r="D37" i="39"/>
  <c r="D33" i="43"/>
  <c r="D33" i="39"/>
  <c r="D29" i="43"/>
  <c r="D29" i="39"/>
  <c r="D25" i="43"/>
  <c r="D25" i="39"/>
  <c r="D21" i="43"/>
  <c r="D21" i="39"/>
  <c r="D17" i="43"/>
  <c r="D17" i="39"/>
  <c r="D13" i="43"/>
  <c r="D13" i="39"/>
  <c r="D9" i="43"/>
  <c r="D9" i="39"/>
  <c r="D5" i="43"/>
  <c r="D5" i="39"/>
  <c r="E121" i="43"/>
  <c r="E121" i="39"/>
  <c r="E117" i="43"/>
  <c r="E117" i="39"/>
  <c r="E113" i="43"/>
  <c r="E113" i="39"/>
  <c r="E109" i="43"/>
  <c r="E109" i="39"/>
  <c r="E105" i="43"/>
  <c r="E105" i="39"/>
  <c r="E101" i="43"/>
  <c r="E101" i="39"/>
  <c r="E97" i="43"/>
  <c r="E97" i="39"/>
  <c r="E93" i="43"/>
  <c r="E93" i="39"/>
  <c r="E89" i="43"/>
  <c r="E89" i="39"/>
  <c r="E85" i="43"/>
  <c r="E85" i="39"/>
  <c r="E81" i="43"/>
  <c r="E81" i="39"/>
  <c r="E77" i="43"/>
  <c r="E77" i="39"/>
  <c r="E73" i="43"/>
  <c r="E73" i="39"/>
  <c r="E69" i="43"/>
  <c r="E69" i="39"/>
  <c r="E65" i="43"/>
  <c r="E65" i="39"/>
  <c r="E61" i="43"/>
  <c r="E61" i="39"/>
  <c r="E57" i="43"/>
  <c r="E57" i="39"/>
  <c r="E53" i="43"/>
  <c r="E53" i="39"/>
  <c r="E49" i="43"/>
  <c r="E49" i="39"/>
  <c r="E45" i="43"/>
  <c r="E45" i="39"/>
  <c r="E41" i="43"/>
  <c r="E41" i="39"/>
  <c r="E37" i="43"/>
  <c r="E37" i="39"/>
  <c r="E33" i="43"/>
  <c r="E33" i="39"/>
  <c r="E29" i="43"/>
  <c r="E29" i="39"/>
  <c r="E25" i="43"/>
  <c r="E25" i="39"/>
  <c r="E21" i="43"/>
  <c r="E21" i="39"/>
  <c r="E17" i="43"/>
  <c r="E17" i="39"/>
  <c r="E13" i="43"/>
  <c r="E13" i="39"/>
  <c r="E9" i="43"/>
  <c r="E9" i="39"/>
  <c r="E5" i="43"/>
  <c r="E5" i="39"/>
  <c r="N121" i="43"/>
  <c r="L121" i="39"/>
  <c r="N119" i="43"/>
  <c r="L119" i="39"/>
  <c r="N117" i="43"/>
  <c r="L117" i="39"/>
  <c r="N115" i="43"/>
  <c r="L115" i="39"/>
  <c r="N113" i="43"/>
  <c r="L113" i="39"/>
  <c r="N111" i="43"/>
  <c r="L111" i="39"/>
  <c r="N109" i="43"/>
  <c r="L109" i="39"/>
  <c r="N107" i="43"/>
  <c r="L107" i="39"/>
  <c r="N105" i="43"/>
  <c r="L105" i="39"/>
  <c r="N103" i="43"/>
  <c r="L103" i="39"/>
  <c r="N101" i="43"/>
  <c r="L101" i="39"/>
  <c r="N99" i="43"/>
  <c r="L99" i="39"/>
  <c r="N97" i="43"/>
  <c r="L97" i="39"/>
  <c r="N95" i="43"/>
  <c r="L95" i="39"/>
  <c r="N93" i="43"/>
  <c r="L93" i="39"/>
  <c r="N91" i="43"/>
  <c r="L91" i="39"/>
  <c r="N89" i="43"/>
  <c r="L89" i="39"/>
  <c r="N87" i="43"/>
  <c r="L87" i="39"/>
  <c r="N85" i="43"/>
  <c r="L85" i="39"/>
  <c r="N83" i="43"/>
  <c r="L83" i="39"/>
  <c r="N81" i="43"/>
  <c r="L81" i="39"/>
  <c r="N79" i="43"/>
  <c r="L79" i="39"/>
  <c r="N77" i="43"/>
  <c r="L77" i="39"/>
  <c r="N75" i="43"/>
  <c r="L75" i="39"/>
  <c r="N73" i="43"/>
  <c r="L73" i="39"/>
  <c r="N71" i="43"/>
  <c r="L71" i="39"/>
  <c r="N69" i="43"/>
  <c r="L69" i="39"/>
  <c r="N67" i="43"/>
  <c r="L67" i="39"/>
  <c r="N65" i="43"/>
  <c r="L65" i="39"/>
  <c r="N63" i="43"/>
  <c r="L63" i="39"/>
  <c r="N61" i="43"/>
  <c r="L61" i="39"/>
  <c r="N59" i="43"/>
  <c r="L59" i="39"/>
  <c r="N57" i="43"/>
  <c r="L57" i="39"/>
  <c r="N55" i="43"/>
  <c r="L55" i="39"/>
  <c r="N53" i="43"/>
  <c r="L53" i="39"/>
  <c r="N51" i="43"/>
  <c r="L51" i="39"/>
  <c r="N49" i="43"/>
  <c r="L49" i="39"/>
  <c r="N47" i="43"/>
  <c r="L47" i="39"/>
  <c r="N45" i="43"/>
  <c r="L45" i="39"/>
  <c r="N43" i="43"/>
  <c r="L43" i="39"/>
  <c r="N41" i="43"/>
  <c r="L41" i="39"/>
  <c r="N39" i="43"/>
  <c r="L39" i="39"/>
  <c r="N37" i="43"/>
  <c r="L37" i="39"/>
  <c r="N35" i="43"/>
  <c r="L35" i="39"/>
  <c r="N33" i="43"/>
  <c r="L33" i="39"/>
  <c r="N31" i="43"/>
  <c r="L31" i="39"/>
  <c r="N29" i="43"/>
  <c r="L29" i="39"/>
  <c r="N27" i="43"/>
  <c r="L27" i="39"/>
  <c r="N25" i="43"/>
  <c r="L25" i="39"/>
  <c r="N23" i="43"/>
  <c r="L23" i="39"/>
  <c r="N21" i="43"/>
  <c r="L21" i="39"/>
  <c r="N19" i="43"/>
  <c r="L19" i="39"/>
  <c r="N17" i="43"/>
  <c r="L17" i="39"/>
  <c r="N15" i="43"/>
  <c r="L15" i="39"/>
  <c r="N13" i="43"/>
  <c r="L13" i="39"/>
  <c r="N11" i="43"/>
  <c r="L11" i="39"/>
  <c r="N9" i="43"/>
  <c r="L9" i="39"/>
  <c r="N7" i="43"/>
  <c r="L7" i="39"/>
  <c r="N5" i="43"/>
  <c r="L5" i="39"/>
  <c r="N3" i="43"/>
  <c r="L3" i="39"/>
  <c r="D120" i="43"/>
  <c r="D120" i="39"/>
  <c r="D116" i="43"/>
  <c r="D116" i="39"/>
  <c r="D112" i="43"/>
  <c r="D112" i="39"/>
  <c r="D108" i="43"/>
  <c r="D108" i="39"/>
  <c r="D104" i="43"/>
  <c r="D104" i="39"/>
  <c r="D100" i="43"/>
  <c r="D100" i="39"/>
  <c r="D96" i="43"/>
  <c r="D96" i="39"/>
  <c r="D92" i="43"/>
  <c r="D92" i="39"/>
  <c r="D88" i="43"/>
  <c r="D88" i="39"/>
  <c r="D84" i="43"/>
  <c r="D84" i="39"/>
  <c r="D80" i="43"/>
  <c r="D80" i="39"/>
  <c r="D76" i="43"/>
  <c r="D76" i="39"/>
  <c r="D72" i="43"/>
  <c r="D72" i="39"/>
  <c r="D68" i="43"/>
  <c r="D68" i="39"/>
  <c r="D64" i="43"/>
  <c r="D64" i="39"/>
  <c r="D60" i="43"/>
  <c r="D60" i="39"/>
  <c r="D56" i="43"/>
  <c r="D56" i="39"/>
  <c r="D52" i="43"/>
  <c r="D52" i="39"/>
  <c r="D48" i="43"/>
  <c r="D48" i="39"/>
  <c r="D44" i="43"/>
  <c r="D44" i="39"/>
  <c r="D40" i="43"/>
  <c r="D40" i="39"/>
  <c r="D36" i="43"/>
  <c r="D36" i="39"/>
  <c r="D32" i="43"/>
  <c r="D32" i="39"/>
  <c r="D28" i="43"/>
  <c r="D28" i="39"/>
  <c r="D24" i="43"/>
  <c r="D24" i="39"/>
  <c r="D20" i="43"/>
  <c r="D20" i="39"/>
  <c r="D16" i="43"/>
  <c r="D16" i="39"/>
  <c r="D12" i="43"/>
  <c r="D12" i="39"/>
  <c r="D8" i="43"/>
  <c r="D8" i="39"/>
  <c r="D4" i="43"/>
  <c r="D4" i="39"/>
  <c r="E120" i="43"/>
  <c r="E120" i="39"/>
  <c r="E116" i="43"/>
  <c r="E116" i="39"/>
  <c r="E112" i="43"/>
  <c r="E112" i="39"/>
  <c r="E108" i="43"/>
  <c r="E108" i="39"/>
  <c r="E104" i="43"/>
  <c r="E104" i="39"/>
  <c r="E100" i="43"/>
  <c r="E100" i="39"/>
  <c r="E96" i="43"/>
  <c r="E96" i="39"/>
  <c r="E92" i="43"/>
  <c r="E92" i="39"/>
  <c r="E88" i="43"/>
  <c r="E88" i="39"/>
  <c r="E84" i="43"/>
  <c r="E84" i="39"/>
  <c r="E80" i="43"/>
  <c r="E80" i="39"/>
  <c r="E76" i="43"/>
  <c r="E76" i="39"/>
  <c r="E72" i="43"/>
  <c r="E72" i="39"/>
  <c r="E68" i="43"/>
  <c r="E68" i="39"/>
  <c r="E64" i="43"/>
  <c r="E64" i="39"/>
  <c r="E60" i="43"/>
  <c r="E60" i="39"/>
  <c r="E56" i="43"/>
  <c r="E56" i="39"/>
  <c r="E52" i="43"/>
  <c r="E52" i="39"/>
  <c r="E48" i="43"/>
  <c r="E48" i="39"/>
  <c r="E44" i="43"/>
  <c r="E44" i="39"/>
  <c r="E40" i="43"/>
  <c r="E40" i="39"/>
  <c r="E36" i="43"/>
  <c r="E36" i="39"/>
  <c r="E32" i="43"/>
  <c r="E32" i="39"/>
  <c r="E28" i="43"/>
  <c r="E28" i="39"/>
  <c r="E24" i="43"/>
  <c r="E24" i="39"/>
  <c r="E20" i="43"/>
  <c r="E20" i="39"/>
  <c r="E16" i="43"/>
  <c r="E16" i="39"/>
  <c r="E12" i="43"/>
  <c r="E12" i="39"/>
  <c r="E8" i="43"/>
  <c r="E8" i="39"/>
  <c r="E4" i="43"/>
  <c r="E4" i="39"/>
  <c r="D3" i="43"/>
  <c r="D3" i="39"/>
  <c r="D119" i="43"/>
  <c r="D119" i="39"/>
  <c r="D115" i="43"/>
  <c r="D115" i="39"/>
  <c r="D111" i="43"/>
  <c r="D111" i="39"/>
  <c r="D107" i="43"/>
  <c r="D107" i="39"/>
  <c r="D103" i="43"/>
  <c r="D103" i="39"/>
  <c r="D99" i="43"/>
  <c r="D99" i="39"/>
  <c r="D95" i="43"/>
  <c r="D95" i="39"/>
  <c r="D91" i="43"/>
  <c r="D91" i="39"/>
  <c r="D87" i="43"/>
  <c r="D87" i="39"/>
  <c r="D83" i="43"/>
  <c r="D83" i="39"/>
  <c r="D79" i="43"/>
  <c r="D79" i="39"/>
  <c r="D75" i="43"/>
  <c r="D75" i="39"/>
  <c r="D71" i="43"/>
  <c r="D71" i="39"/>
  <c r="D67" i="43"/>
  <c r="D67" i="39"/>
  <c r="D63" i="43"/>
  <c r="D63" i="39"/>
  <c r="D59" i="43"/>
  <c r="D59" i="39"/>
  <c r="D55" i="43"/>
  <c r="D55" i="39"/>
  <c r="D51" i="43"/>
  <c r="D51" i="39"/>
  <c r="D47" i="43"/>
  <c r="D47" i="39"/>
  <c r="D43" i="43"/>
  <c r="D43" i="39"/>
  <c r="D39" i="43"/>
  <c r="D39" i="39"/>
  <c r="D35" i="43"/>
  <c r="D35" i="39"/>
  <c r="D31" i="43"/>
  <c r="D31" i="39"/>
  <c r="D27" i="43"/>
  <c r="D27" i="39"/>
  <c r="D23" i="43"/>
  <c r="D23" i="39"/>
  <c r="D19" i="43"/>
  <c r="D19" i="39"/>
  <c r="D15" i="43"/>
  <c r="D15" i="39"/>
  <c r="D11" i="43"/>
  <c r="D11" i="39"/>
  <c r="D7" i="43"/>
  <c r="D7" i="39"/>
  <c r="E3" i="43"/>
  <c r="E3" i="39"/>
  <c r="E119" i="43"/>
  <c r="E119" i="39"/>
  <c r="E115" i="43"/>
  <c r="E115" i="39"/>
  <c r="E111" i="43"/>
  <c r="E111" i="39"/>
  <c r="E107" i="43"/>
  <c r="E107" i="39"/>
  <c r="E103" i="43"/>
  <c r="E103" i="39"/>
  <c r="E99" i="43"/>
  <c r="E99" i="39"/>
  <c r="E95" i="43"/>
  <c r="E95" i="39"/>
  <c r="E91" i="43"/>
  <c r="E91" i="39"/>
  <c r="E87" i="43"/>
  <c r="E87" i="39"/>
  <c r="E83" i="43"/>
  <c r="E83" i="39"/>
  <c r="E79" i="43"/>
  <c r="E79" i="39"/>
  <c r="E75" i="43"/>
  <c r="E75" i="39"/>
  <c r="E71" i="43"/>
  <c r="E71" i="39"/>
  <c r="E67" i="43"/>
  <c r="E67" i="39"/>
  <c r="E63" i="43"/>
  <c r="E63" i="39"/>
  <c r="E59" i="43"/>
  <c r="E59" i="39"/>
  <c r="E55" i="43"/>
  <c r="E55" i="39"/>
  <c r="E51" i="43"/>
  <c r="E51" i="39"/>
  <c r="E47" i="43"/>
  <c r="E47" i="39"/>
  <c r="E43" i="43"/>
  <c r="E43" i="39"/>
  <c r="E39" i="43"/>
  <c r="E39" i="39"/>
  <c r="E35" i="43"/>
  <c r="E35" i="39"/>
  <c r="E31" i="43"/>
  <c r="E31" i="39"/>
  <c r="E27" i="43"/>
  <c r="E27" i="39"/>
  <c r="E23" i="43"/>
  <c r="E23" i="39"/>
  <c r="E19" i="43"/>
  <c r="E19" i="39"/>
  <c r="E15" i="43"/>
  <c r="E15" i="39"/>
  <c r="E11" i="43"/>
  <c r="E11" i="39"/>
  <c r="E7" i="43"/>
  <c r="E7" i="39"/>
  <c r="N2" i="43"/>
  <c r="L2" i="39"/>
  <c r="N122" i="43"/>
  <c r="L122" i="39"/>
  <c r="N120" i="43"/>
  <c r="L120" i="39"/>
  <c r="N118" i="43"/>
  <c r="L118" i="39"/>
  <c r="N116" i="43"/>
  <c r="L116" i="39"/>
  <c r="N114" i="43"/>
  <c r="L114" i="39"/>
  <c r="N112" i="43"/>
  <c r="L112" i="39"/>
  <c r="N110" i="43"/>
  <c r="L110" i="39"/>
  <c r="N108" i="43"/>
  <c r="L108" i="39"/>
  <c r="N106" i="43"/>
  <c r="L106" i="39"/>
  <c r="N104" i="43"/>
  <c r="L104" i="39"/>
  <c r="N102" i="43"/>
  <c r="L102" i="39"/>
  <c r="N100" i="43"/>
  <c r="L100" i="39"/>
  <c r="N98" i="43"/>
  <c r="L98" i="39"/>
  <c r="N96" i="43"/>
  <c r="L96" i="39"/>
  <c r="N94" i="43"/>
  <c r="L94" i="39"/>
  <c r="N92" i="43"/>
  <c r="L92" i="39"/>
  <c r="N90" i="43"/>
  <c r="L90" i="39"/>
  <c r="N88" i="43"/>
  <c r="L88" i="39"/>
  <c r="N86" i="43"/>
  <c r="L86" i="39"/>
  <c r="N84" i="43"/>
  <c r="L84" i="39"/>
  <c r="N82" i="43"/>
  <c r="L82" i="39"/>
  <c r="N80" i="43"/>
  <c r="L80" i="39"/>
  <c r="N78" i="43"/>
  <c r="L78" i="39"/>
  <c r="N76" i="43"/>
  <c r="L76" i="39"/>
  <c r="N74" i="43"/>
  <c r="L74" i="39"/>
  <c r="N72" i="43"/>
  <c r="L72" i="39"/>
  <c r="N70" i="43"/>
  <c r="L70" i="39"/>
  <c r="N68" i="43"/>
  <c r="L68" i="39"/>
  <c r="N66" i="43"/>
  <c r="L66" i="39"/>
  <c r="N64" i="43"/>
  <c r="L64" i="39"/>
  <c r="N62" i="43"/>
  <c r="L62" i="39"/>
  <c r="N60" i="43"/>
  <c r="L60" i="39"/>
  <c r="N58" i="43"/>
  <c r="L58" i="39"/>
  <c r="N56" i="43"/>
  <c r="L56" i="39"/>
  <c r="N54" i="43"/>
  <c r="L54" i="39"/>
  <c r="N52" i="43"/>
  <c r="L52" i="39"/>
  <c r="N50" i="43"/>
  <c r="L50" i="39"/>
  <c r="N48" i="43"/>
  <c r="L48" i="39"/>
  <c r="N46" i="43"/>
  <c r="L46" i="39"/>
  <c r="N44" i="43"/>
  <c r="L44" i="39"/>
  <c r="N42" i="43"/>
  <c r="L42" i="39"/>
  <c r="N40" i="43"/>
  <c r="L40" i="39"/>
  <c r="N38" i="43"/>
  <c r="L38" i="39"/>
  <c r="N36" i="43"/>
  <c r="L36" i="39"/>
  <c r="N34" i="43"/>
  <c r="L34" i="39"/>
  <c r="N32" i="43"/>
  <c r="L32" i="39"/>
  <c r="N30" i="43"/>
  <c r="L30" i="39"/>
  <c r="N28" i="43"/>
  <c r="L28" i="39"/>
  <c r="N26" i="43"/>
  <c r="L26" i="39"/>
  <c r="N24" i="43"/>
  <c r="L24" i="39"/>
  <c r="N22" i="43"/>
  <c r="L22" i="39"/>
  <c r="N20" i="43"/>
  <c r="L20" i="39"/>
  <c r="N18" i="43"/>
  <c r="L18" i="39"/>
  <c r="N16" i="43"/>
  <c r="L16" i="39"/>
  <c r="N14" i="43"/>
  <c r="L14" i="39"/>
  <c r="N12" i="43"/>
  <c r="L12" i="39"/>
  <c r="N10" i="43"/>
  <c r="L10" i="39"/>
  <c r="N8" i="43"/>
  <c r="L8" i="39"/>
  <c r="N6" i="43"/>
  <c r="L6" i="39"/>
  <c r="N4" i="43"/>
  <c r="L4" i="39"/>
  <c r="D122" i="43"/>
  <c r="D122" i="39"/>
  <c r="D118" i="43"/>
  <c r="D118" i="39"/>
  <c r="D114" i="43"/>
  <c r="D114" i="39"/>
  <c r="D110" i="43"/>
  <c r="D110" i="39"/>
  <c r="D106" i="43"/>
  <c r="D106" i="39"/>
  <c r="D102" i="43"/>
  <c r="D102" i="39"/>
  <c r="D98" i="43"/>
  <c r="D98" i="39"/>
  <c r="D94" i="43"/>
  <c r="D94" i="39"/>
  <c r="D90" i="43"/>
  <c r="D90" i="39"/>
  <c r="D86" i="43"/>
  <c r="D86" i="39"/>
  <c r="D82" i="43"/>
  <c r="D82" i="39"/>
  <c r="D78" i="43"/>
  <c r="D78" i="39"/>
  <c r="D74" i="43"/>
  <c r="D74" i="39"/>
  <c r="D70" i="43"/>
  <c r="D70" i="39"/>
  <c r="D66" i="43"/>
  <c r="D66" i="39"/>
  <c r="D62" i="43"/>
  <c r="D62" i="39"/>
  <c r="D58" i="43"/>
  <c r="D58" i="39"/>
  <c r="D54" i="43"/>
  <c r="D54" i="39"/>
  <c r="D50" i="43"/>
  <c r="D50" i="39"/>
  <c r="D46" i="43"/>
  <c r="D46" i="39"/>
  <c r="D42" i="43"/>
  <c r="D42" i="39"/>
  <c r="D38" i="43"/>
  <c r="D38" i="39"/>
  <c r="D34" i="43"/>
  <c r="D34" i="39"/>
  <c r="D30" i="43"/>
  <c r="D30" i="39"/>
  <c r="D26" i="43"/>
  <c r="D26" i="39"/>
  <c r="D22" i="43"/>
  <c r="D22" i="39"/>
  <c r="D18" i="43"/>
  <c r="D18" i="39"/>
  <c r="D14" i="43"/>
  <c r="D14" i="39"/>
  <c r="D10" i="43"/>
  <c r="D10" i="39"/>
  <c r="D6" i="43"/>
  <c r="D6" i="39"/>
  <c r="E122" i="43"/>
  <c r="E122" i="39"/>
  <c r="E118" i="43"/>
  <c r="E118" i="39"/>
  <c r="E114" i="43"/>
  <c r="E114" i="39"/>
  <c r="E110" i="43"/>
  <c r="E110" i="39"/>
  <c r="E106" i="43"/>
  <c r="E106" i="39"/>
  <c r="E102" i="43"/>
  <c r="E102" i="39"/>
  <c r="E98" i="43"/>
  <c r="E98" i="39"/>
  <c r="E94" i="43"/>
  <c r="E94" i="39"/>
  <c r="E90" i="43"/>
  <c r="E90" i="39"/>
  <c r="E86" i="43"/>
  <c r="E86" i="39"/>
  <c r="E82" i="43"/>
  <c r="E82" i="39"/>
  <c r="E78" i="43"/>
  <c r="E78" i="39"/>
  <c r="E74" i="43"/>
  <c r="E74" i="39"/>
  <c r="E70" i="43"/>
  <c r="E70" i="39"/>
  <c r="E66" i="43"/>
  <c r="E66" i="39"/>
  <c r="E62" i="43"/>
  <c r="E62" i="39"/>
  <c r="E58" i="43"/>
  <c r="E58" i="39"/>
  <c r="E54" i="43"/>
  <c r="E54" i="39"/>
  <c r="E50" i="43"/>
  <c r="E50" i="39"/>
  <c r="E46" i="43"/>
  <c r="E46" i="39"/>
  <c r="E42" i="43"/>
  <c r="E42" i="39"/>
  <c r="E38" i="43"/>
  <c r="E38" i="39"/>
  <c r="E34" i="43"/>
  <c r="E34" i="39"/>
  <c r="E30" i="43"/>
  <c r="E30" i="39"/>
  <c r="E26" i="43"/>
  <c r="E26" i="39"/>
  <c r="E22" i="43"/>
  <c r="E22" i="39"/>
  <c r="E18" i="43"/>
  <c r="E18" i="39"/>
  <c r="E14" i="43"/>
  <c r="E14" i="39"/>
  <c r="E10" i="43"/>
  <c r="E10" i="39"/>
  <c r="E6" i="43"/>
  <c r="E6" i="39"/>
  <c r="AN28" i="34"/>
  <c r="AL64" i="34" s="1"/>
  <c r="AN26" i="34"/>
  <c r="AQ64" i="34" s="1"/>
  <c r="AN25" i="34"/>
  <c r="BE28" i="34"/>
  <c r="AZ67" i="34" s="1"/>
  <c r="BD109" i="35"/>
  <c r="I110" i="39"/>
  <c r="BB103" i="35"/>
  <c r="BA90" i="35"/>
  <c r="H91" i="39"/>
  <c r="BC88" i="35"/>
  <c r="BB71" i="35"/>
  <c r="BD33" i="35"/>
  <c r="I34" i="39"/>
  <c r="BC32" i="35"/>
  <c r="BB31" i="35"/>
  <c r="BA30" i="35"/>
  <c r="H31" i="39"/>
  <c r="BD29" i="35"/>
  <c r="I30" i="39"/>
  <c r="BC28" i="35"/>
  <c r="BB27" i="35"/>
  <c r="BA26" i="35"/>
  <c r="H27" i="39"/>
  <c r="BD25" i="35"/>
  <c r="I26" i="39"/>
  <c r="BC24" i="35"/>
  <c r="BB23" i="35"/>
  <c r="BA22" i="35"/>
  <c r="H23" i="39"/>
  <c r="BD21" i="35"/>
  <c r="I22" i="39"/>
  <c r="BC20" i="35"/>
  <c r="BB19" i="35"/>
  <c r="BA18" i="35"/>
  <c r="H19" i="39"/>
  <c r="BD17" i="35"/>
  <c r="I18" i="39"/>
  <c r="BC16" i="35"/>
  <c r="BB15" i="35"/>
  <c r="BA14" i="35"/>
  <c r="H15" i="39"/>
  <c r="BD13" i="35"/>
  <c r="I14" i="39"/>
  <c r="BC12" i="35"/>
  <c r="BB11" i="35"/>
  <c r="BA10" i="35"/>
  <c r="H11" i="39"/>
  <c r="BD9" i="35"/>
  <c r="I10" i="39"/>
  <c r="BC8" i="35"/>
  <c r="BB7" i="35"/>
  <c r="BA6" i="35"/>
  <c r="H7" i="39"/>
  <c r="BD5" i="35"/>
  <c r="I6" i="39"/>
  <c r="BC4" i="35"/>
  <c r="BB3" i="35"/>
  <c r="BB1" i="35"/>
  <c r="H3" i="39"/>
  <c r="BA2" i="35"/>
  <c r="BC121" i="35"/>
  <c r="BB120" i="35"/>
  <c r="BA119" i="35"/>
  <c r="H120" i="39"/>
  <c r="BD118" i="35"/>
  <c r="I119" i="39"/>
  <c r="BC117" i="35"/>
  <c r="BB116" i="35"/>
  <c r="BA115" i="35"/>
  <c r="H116" i="39"/>
  <c r="BD114" i="35"/>
  <c r="I115" i="39"/>
  <c r="BC113" i="35"/>
  <c r="BB112" i="35"/>
  <c r="BA111" i="35"/>
  <c r="H112" i="39"/>
  <c r="BD110" i="35"/>
  <c r="I111" i="39"/>
  <c r="BC109" i="35"/>
  <c r="BB108" i="35"/>
  <c r="BA107" i="35"/>
  <c r="H108" i="39"/>
  <c r="BD106" i="35"/>
  <c r="I107" i="39"/>
  <c r="BC105" i="35"/>
  <c r="BB104" i="35"/>
  <c r="BA103" i="35"/>
  <c r="H104" i="39"/>
  <c r="BD102" i="35"/>
  <c r="I103" i="39"/>
  <c r="BC101" i="35"/>
  <c r="BB100" i="35"/>
  <c r="BA99" i="35"/>
  <c r="H100" i="39"/>
  <c r="BD98" i="35"/>
  <c r="I99" i="39"/>
  <c r="BC97" i="35"/>
  <c r="BB96" i="35"/>
  <c r="BA95" i="35"/>
  <c r="H96" i="39"/>
  <c r="I95" i="39"/>
  <c r="BD94" i="35"/>
  <c r="BC93" i="35"/>
  <c r="BB92" i="35"/>
  <c r="BA91" i="35"/>
  <c r="H92" i="39"/>
  <c r="BD90" i="35"/>
  <c r="I91" i="39"/>
  <c r="BC89" i="35"/>
  <c r="BB88" i="35"/>
  <c r="BA87" i="35"/>
  <c r="H88" i="39"/>
  <c r="BD86" i="35"/>
  <c r="I87" i="39"/>
  <c r="BC85" i="35"/>
  <c r="BB84" i="35"/>
  <c r="BA83" i="35"/>
  <c r="H84" i="39"/>
  <c r="BD82" i="35"/>
  <c r="I83" i="39"/>
  <c r="BC81" i="35"/>
  <c r="BB80" i="35"/>
  <c r="BA79" i="35"/>
  <c r="H80" i="39"/>
  <c r="BD78" i="35"/>
  <c r="I79" i="39"/>
  <c r="BC77" i="35"/>
  <c r="BB76" i="35"/>
  <c r="BA75" i="35"/>
  <c r="H76" i="39"/>
  <c r="BD74" i="35"/>
  <c r="I75" i="39"/>
  <c r="BC73" i="35"/>
  <c r="BB72" i="35"/>
  <c r="BA71" i="35"/>
  <c r="H72" i="39"/>
  <c r="BD70" i="35"/>
  <c r="I71" i="39"/>
  <c r="BC69" i="35"/>
  <c r="BB68" i="35"/>
  <c r="BA67" i="35"/>
  <c r="H68" i="39"/>
  <c r="BD66" i="35"/>
  <c r="BC65" i="35"/>
  <c r="BB64" i="35"/>
  <c r="BA63" i="35"/>
  <c r="H64" i="39"/>
  <c r="BD62" i="35"/>
  <c r="I63" i="39"/>
  <c r="BC61" i="35"/>
  <c r="BB60" i="35"/>
  <c r="BA59" i="35"/>
  <c r="H60" i="39"/>
  <c r="BD58" i="35"/>
  <c r="I59" i="39"/>
  <c r="BC57" i="35"/>
  <c r="BB56" i="35"/>
  <c r="BA55" i="35"/>
  <c r="H56" i="39"/>
  <c r="BD54" i="35"/>
  <c r="I55" i="39"/>
  <c r="BC53" i="35"/>
  <c r="BB52" i="35"/>
  <c r="BA51" i="35"/>
  <c r="H52" i="39"/>
  <c r="BD50" i="35"/>
  <c r="I51" i="39"/>
  <c r="BC49" i="35"/>
  <c r="BB48" i="35"/>
  <c r="BA47" i="35"/>
  <c r="H48" i="39"/>
  <c r="BD46" i="35"/>
  <c r="I47" i="39"/>
  <c r="BC45" i="35"/>
  <c r="BB44" i="35"/>
  <c r="BA43" i="35"/>
  <c r="H44" i="39"/>
  <c r="BD42" i="35"/>
  <c r="I43" i="39"/>
  <c r="BC41" i="35"/>
  <c r="BB40" i="35"/>
  <c r="BA39" i="35"/>
  <c r="H40" i="39"/>
  <c r="BD38" i="35"/>
  <c r="I39" i="39"/>
  <c r="BC37" i="35"/>
  <c r="BB36" i="35"/>
  <c r="BA35" i="35"/>
  <c r="H36" i="39"/>
  <c r="BD34" i="35"/>
  <c r="I35" i="39"/>
  <c r="BC33" i="35"/>
  <c r="BB32" i="35"/>
  <c r="BA31" i="35"/>
  <c r="H32" i="39"/>
  <c r="BD30" i="35"/>
  <c r="I31" i="39"/>
  <c r="BC29" i="35"/>
  <c r="BB28" i="35"/>
  <c r="BA27" i="35"/>
  <c r="H28" i="39"/>
  <c r="BD26" i="35"/>
  <c r="I27" i="39"/>
  <c r="BC25" i="35"/>
  <c r="BB24" i="35"/>
  <c r="BA23" i="35"/>
  <c r="H24" i="39"/>
  <c r="BD22" i="35"/>
  <c r="I23" i="39"/>
  <c r="BC21" i="35"/>
  <c r="BB20" i="35"/>
  <c r="BA19" i="35"/>
  <c r="H20" i="39"/>
  <c r="BD18" i="35"/>
  <c r="I19" i="39"/>
  <c r="BC17" i="35"/>
  <c r="BB16" i="35"/>
  <c r="BA15" i="35"/>
  <c r="H16" i="39"/>
  <c r="BD14" i="35"/>
  <c r="I15" i="39"/>
  <c r="BC13" i="35"/>
  <c r="BB12" i="35"/>
  <c r="BA11" i="35"/>
  <c r="H12" i="39"/>
  <c r="BD10" i="35"/>
  <c r="I11" i="39"/>
  <c r="BC9" i="35"/>
  <c r="BB8" i="35"/>
  <c r="BA7" i="35"/>
  <c r="H8" i="39"/>
  <c r="BD6" i="35"/>
  <c r="I7" i="39"/>
  <c r="BC5" i="35"/>
  <c r="BB4" i="35"/>
  <c r="BA3" i="35"/>
  <c r="H4" i="39"/>
  <c r="BB2" i="35"/>
  <c r="BD121" i="35"/>
  <c r="I122" i="39"/>
  <c r="BD117" i="35"/>
  <c r="I118" i="39"/>
  <c r="BB115" i="35"/>
  <c r="BA114" i="35"/>
  <c r="H115" i="39"/>
  <c r="BC112" i="35"/>
  <c r="BB111" i="35"/>
  <c r="BC108" i="35"/>
  <c r="BA106" i="35"/>
  <c r="H107" i="39"/>
  <c r="BD105" i="35"/>
  <c r="I106" i="39"/>
  <c r="BC104" i="35"/>
  <c r="BA102" i="35"/>
  <c r="H103" i="39"/>
  <c r="BC100" i="35"/>
  <c r="BB99" i="35"/>
  <c r="BD97" i="35"/>
  <c r="I98" i="39"/>
  <c r="BC96" i="35"/>
  <c r="BB95" i="35"/>
  <c r="BA94" i="35"/>
  <c r="H95" i="39"/>
  <c r="BD93" i="35"/>
  <c r="I94" i="39"/>
  <c r="BB91" i="35"/>
  <c r="BB87" i="35"/>
  <c r="BA86" i="35"/>
  <c r="H87" i="39"/>
  <c r="BD85" i="35"/>
  <c r="I86" i="39"/>
  <c r="BA82" i="35"/>
  <c r="H83" i="39"/>
  <c r="BD81" i="35"/>
  <c r="I82" i="39"/>
  <c r="BC80" i="35"/>
  <c r="BD77" i="35"/>
  <c r="I78" i="39"/>
  <c r="BB75" i="35"/>
  <c r="BC72" i="35"/>
  <c r="BA70" i="35"/>
  <c r="H71" i="39"/>
  <c r="BD69" i="35"/>
  <c r="I70" i="39"/>
  <c r="BD65" i="35"/>
  <c r="I66" i="39"/>
  <c r="BC64" i="35"/>
  <c r="BB63" i="35"/>
  <c r="BA62" i="35"/>
  <c r="H63" i="39"/>
  <c r="BD61" i="35"/>
  <c r="I62" i="39"/>
  <c r="BC60" i="35"/>
  <c r="BA58" i="35"/>
  <c r="H59" i="39"/>
  <c r="BD57" i="35"/>
  <c r="I58" i="39"/>
  <c r="BA54" i="35"/>
  <c r="H55" i="39"/>
  <c r="BA50" i="35"/>
  <c r="H51" i="39"/>
  <c r="BD49" i="35"/>
  <c r="I50" i="39"/>
  <c r="BC44" i="35"/>
  <c r="BD41" i="35"/>
  <c r="I42" i="39"/>
  <c r="BC40" i="35"/>
  <c r="BB39" i="35"/>
  <c r="BA38" i="35"/>
  <c r="H39" i="39"/>
  <c r="BD37" i="35"/>
  <c r="I38" i="39"/>
  <c r="BC36" i="35"/>
  <c r="BB35" i="35"/>
  <c r="BA34" i="35"/>
  <c r="H35" i="39"/>
  <c r="BA1" i="35"/>
  <c r="H2" i="39"/>
  <c r="BD2" i="35"/>
  <c r="I3" i="39"/>
  <c r="BB121" i="35"/>
  <c r="BA120" i="35"/>
  <c r="H121" i="39"/>
  <c r="BD119" i="35"/>
  <c r="I120" i="39"/>
  <c r="BC118" i="35"/>
  <c r="BB117" i="35"/>
  <c r="BA116" i="35"/>
  <c r="H117" i="39"/>
  <c r="BD115" i="35"/>
  <c r="I116" i="39"/>
  <c r="BC114" i="35"/>
  <c r="BB113" i="35"/>
  <c r="BA112" i="35"/>
  <c r="H113" i="39"/>
  <c r="BD111" i="35"/>
  <c r="I112" i="39"/>
  <c r="BC110" i="35"/>
  <c r="BB109" i="35"/>
  <c r="BA108" i="35"/>
  <c r="H109" i="39"/>
  <c r="BD107" i="35"/>
  <c r="I108" i="39"/>
  <c r="BC106" i="35"/>
  <c r="BB105" i="35"/>
  <c r="BA104" i="35"/>
  <c r="H105" i="39"/>
  <c r="BD103" i="35"/>
  <c r="I104" i="39"/>
  <c r="BC102" i="35"/>
  <c r="BB101" i="35"/>
  <c r="BA100" i="35"/>
  <c r="H101" i="39"/>
  <c r="BD99" i="35"/>
  <c r="I100" i="39"/>
  <c r="BC98" i="35"/>
  <c r="BB97" i="35"/>
  <c r="BA96" i="35"/>
  <c r="H97" i="39"/>
  <c r="BD95" i="35"/>
  <c r="I96" i="39"/>
  <c r="BC94" i="35"/>
  <c r="BB93" i="35"/>
  <c r="BA92" i="35"/>
  <c r="H93" i="39"/>
  <c r="BD91" i="35"/>
  <c r="I92" i="39"/>
  <c r="BC90" i="35"/>
  <c r="BB89" i="35"/>
  <c r="BA88" i="35"/>
  <c r="H89" i="39"/>
  <c r="BD87" i="35"/>
  <c r="I88" i="39"/>
  <c r="BC86" i="35"/>
  <c r="BB85" i="35"/>
  <c r="BA84" i="35"/>
  <c r="H85" i="39"/>
  <c r="BD83" i="35"/>
  <c r="I84" i="39"/>
  <c r="BC82" i="35"/>
  <c r="BB81" i="35"/>
  <c r="BA80" i="35"/>
  <c r="H81" i="39"/>
  <c r="BD79" i="35"/>
  <c r="I80" i="39"/>
  <c r="BC78" i="35"/>
  <c r="BB77" i="35"/>
  <c r="BA76" i="35"/>
  <c r="H77" i="39"/>
  <c r="BD75" i="35"/>
  <c r="I76" i="39"/>
  <c r="BC74" i="35"/>
  <c r="BB73" i="35"/>
  <c r="BA72" i="35"/>
  <c r="H73" i="39"/>
  <c r="BD71" i="35"/>
  <c r="I72" i="39"/>
  <c r="BC70" i="35"/>
  <c r="BB69" i="35"/>
  <c r="BA68" i="35"/>
  <c r="H69" i="39"/>
  <c r="BD67" i="35"/>
  <c r="I68" i="39"/>
  <c r="BC66" i="35"/>
  <c r="BB65" i="35"/>
  <c r="BA64" i="35"/>
  <c r="H65" i="39"/>
  <c r="BD63" i="35"/>
  <c r="I64" i="39"/>
  <c r="BC62" i="35"/>
  <c r="BB61" i="35"/>
  <c r="BA60" i="35"/>
  <c r="H61" i="39"/>
  <c r="BD59" i="35"/>
  <c r="I60" i="39"/>
  <c r="BC58" i="35"/>
  <c r="BB57" i="35"/>
  <c r="BA56" i="35"/>
  <c r="H57" i="39"/>
  <c r="BD55" i="35"/>
  <c r="I56" i="39"/>
  <c r="BC54" i="35"/>
  <c r="BB53" i="35"/>
  <c r="BA52" i="35"/>
  <c r="H53" i="39"/>
  <c r="BD51" i="35"/>
  <c r="I52" i="39"/>
  <c r="BC50" i="35"/>
  <c r="BB49" i="35"/>
  <c r="BA48" i="35"/>
  <c r="H49" i="39"/>
  <c r="BD47" i="35"/>
  <c r="I48" i="39"/>
  <c r="BC46" i="35"/>
  <c r="BB45" i="35"/>
  <c r="BA44" i="35"/>
  <c r="H45" i="39"/>
  <c r="BD43" i="35"/>
  <c r="I44" i="39"/>
  <c r="BC42" i="35"/>
  <c r="BB41" i="35"/>
  <c r="BA40" i="35"/>
  <c r="H41" i="39"/>
  <c r="BD39" i="35"/>
  <c r="I40" i="39"/>
  <c r="BC38" i="35"/>
  <c r="BB37" i="35"/>
  <c r="BA36" i="35"/>
  <c r="H37" i="39"/>
  <c r="BD35" i="35"/>
  <c r="I36" i="39"/>
  <c r="BC34" i="35"/>
  <c r="BB33" i="35"/>
  <c r="BA32" i="35"/>
  <c r="H33" i="39"/>
  <c r="BD31" i="35"/>
  <c r="I32" i="39"/>
  <c r="BC30" i="35"/>
  <c r="BB29" i="35"/>
  <c r="BA28" i="35"/>
  <c r="H29" i="39"/>
  <c r="BD27" i="35"/>
  <c r="I28" i="39"/>
  <c r="BC26" i="35"/>
  <c r="BB25" i="35"/>
  <c r="BA24" i="35"/>
  <c r="H25" i="39"/>
  <c r="BD23" i="35"/>
  <c r="I24" i="39"/>
  <c r="BC22" i="35"/>
  <c r="BB21" i="35"/>
  <c r="BA20" i="35"/>
  <c r="H21" i="39"/>
  <c r="BD19" i="35"/>
  <c r="I20" i="39"/>
  <c r="BC18" i="35"/>
  <c r="BB17" i="35"/>
  <c r="BA16" i="35"/>
  <c r="H17" i="39"/>
  <c r="BD15" i="35"/>
  <c r="I16" i="39"/>
  <c r="BC14" i="35"/>
  <c r="BB13" i="35"/>
  <c r="BA12" i="35"/>
  <c r="H13" i="39"/>
  <c r="BD11" i="35"/>
  <c r="I12" i="39"/>
  <c r="BC10" i="35"/>
  <c r="BB9" i="35"/>
  <c r="BA8" i="35"/>
  <c r="H9" i="39"/>
  <c r="BD7" i="35"/>
  <c r="I8" i="39"/>
  <c r="BC6" i="35"/>
  <c r="BB5" i="35"/>
  <c r="BA4" i="35"/>
  <c r="H5" i="39"/>
  <c r="BD3" i="35"/>
  <c r="I4" i="39"/>
  <c r="BC1" i="35"/>
  <c r="BC120" i="35"/>
  <c r="BB119" i="35"/>
  <c r="BA118" i="35"/>
  <c r="H119" i="39"/>
  <c r="BC116" i="35"/>
  <c r="BD113" i="35"/>
  <c r="I114" i="39"/>
  <c r="BA110" i="35"/>
  <c r="H111" i="39"/>
  <c r="BB107" i="35"/>
  <c r="BD101" i="35"/>
  <c r="I102" i="39"/>
  <c r="BA98" i="35"/>
  <c r="H99" i="39"/>
  <c r="BC92" i="35"/>
  <c r="BD89" i="35"/>
  <c r="I90" i="39"/>
  <c r="BC84" i="35"/>
  <c r="BB83" i="35"/>
  <c r="BB79" i="35"/>
  <c r="BA78" i="35"/>
  <c r="H79" i="39"/>
  <c r="BC76" i="35"/>
  <c r="BA74" i="35"/>
  <c r="H75" i="39"/>
  <c r="BD73" i="35"/>
  <c r="I74" i="39"/>
  <c r="BC68" i="35"/>
  <c r="BB67" i="35"/>
  <c r="BA66" i="35"/>
  <c r="H67" i="39"/>
  <c r="BB59" i="35"/>
  <c r="BC56" i="35"/>
  <c r="BB55" i="35"/>
  <c r="BD53" i="35"/>
  <c r="I54" i="39"/>
  <c r="BC52" i="35"/>
  <c r="BB51" i="35"/>
  <c r="BC48" i="35"/>
  <c r="BB47" i="35"/>
  <c r="BA46" i="35"/>
  <c r="H47" i="39"/>
  <c r="BD45" i="35"/>
  <c r="I46" i="39"/>
  <c r="BB43" i="35"/>
  <c r="BA42" i="35"/>
  <c r="H43" i="39"/>
  <c r="BD1" i="35"/>
  <c r="I2" i="39"/>
  <c r="BC2" i="35"/>
  <c r="BA121" i="35"/>
  <c r="H122" i="39"/>
  <c r="I121" i="39"/>
  <c r="BD120" i="35"/>
  <c r="BC119" i="35"/>
  <c r="BB118" i="35"/>
  <c r="BA117" i="35"/>
  <c r="H118" i="39"/>
  <c r="I117" i="39"/>
  <c r="BD116" i="35"/>
  <c r="BC115" i="35"/>
  <c r="BB114" i="35"/>
  <c r="BA113" i="35"/>
  <c r="H114" i="39"/>
  <c r="I113" i="39"/>
  <c r="BD112" i="35"/>
  <c r="BC111" i="35"/>
  <c r="BB110" i="35"/>
  <c r="BA109" i="35"/>
  <c r="H110" i="39"/>
  <c r="I109" i="39"/>
  <c r="BD108" i="35"/>
  <c r="BC107" i="35"/>
  <c r="BB106" i="35"/>
  <c r="BA105" i="35"/>
  <c r="H106" i="39"/>
  <c r="I105" i="39"/>
  <c r="BD104" i="35"/>
  <c r="BC103" i="35"/>
  <c r="BB102" i="35"/>
  <c r="BA101" i="35"/>
  <c r="H102" i="39"/>
  <c r="I101" i="39"/>
  <c r="BD100" i="35"/>
  <c r="BC99" i="35"/>
  <c r="BB98" i="35"/>
  <c r="BA97" i="35"/>
  <c r="H98" i="39"/>
  <c r="I97" i="39"/>
  <c r="BD96" i="35"/>
  <c r="BC95" i="35"/>
  <c r="BB94" i="35"/>
  <c r="BA93" i="35"/>
  <c r="H94" i="39"/>
  <c r="I93" i="39"/>
  <c r="BD92" i="35"/>
  <c r="BC91" i="35"/>
  <c r="BB90" i="35"/>
  <c r="BA89" i="35"/>
  <c r="H90" i="39"/>
  <c r="I89" i="39"/>
  <c r="BD88" i="35"/>
  <c r="BC87" i="35"/>
  <c r="BB86" i="35"/>
  <c r="BA85" i="35"/>
  <c r="H86" i="39"/>
  <c r="I85" i="39"/>
  <c r="BD84" i="35"/>
  <c r="BC83" i="35"/>
  <c r="BB82" i="35"/>
  <c r="BA81" i="35"/>
  <c r="H82" i="39"/>
  <c r="I81" i="39"/>
  <c r="BD80" i="35"/>
  <c r="BC79" i="35"/>
  <c r="BB78" i="35"/>
  <c r="BA77" i="35"/>
  <c r="H78" i="39"/>
  <c r="I77" i="39"/>
  <c r="BD76" i="35"/>
  <c r="BC75" i="35"/>
  <c r="BB74" i="35"/>
  <c r="BA73" i="35"/>
  <c r="H74" i="39"/>
  <c r="I73" i="39"/>
  <c r="BD72" i="35"/>
  <c r="BC71" i="35"/>
  <c r="BB70" i="35"/>
  <c r="BA69" i="35"/>
  <c r="H70" i="39"/>
  <c r="I69" i="39"/>
  <c r="BD68" i="35"/>
  <c r="BC67" i="35"/>
  <c r="BB66" i="35"/>
  <c r="BA65" i="35"/>
  <c r="H66" i="39"/>
  <c r="I65" i="39"/>
  <c r="BD64" i="35"/>
  <c r="BC63" i="35"/>
  <c r="BB62" i="35"/>
  <c r="BA61" i="35"/>
  <c r="H62" i="39"/>
  <c r="I61" i="39"/>
  <c r="BD60" i="35"/>
  <c r="BC59" i="35"/>
  <c r="BB58" i="35"/>
  <c r="BA57" i="35"/>
  <c r="H58" i="39"/>
  <c r="I57" i="39"/>
  <c r="BD56" i="35"/>
  <c r="BC55" i="35"/>
  <c r="BB54" i="35"/>
  <c r="BA53" i="35"/>
  <c r="H54" i="39"/>
  <c r="I53" i="39"/>
  <c r="BD52" i="35"/>
  <c r="BC51" i="35"/>
  <c r="BB50" i="35"/>
  <c r="BA49" i="35"/>
  <c r="H50" i="39"/>
  <c r="I49" i="39"/>
  <c r="BD48" i="35"/>
  <c r="BC47" i="35"/>
  <c r="BB46" i="35"/>
  <c r="BA45" i="35"/>
  <c r="H46" i="39"/>
  <c r="I45" i="39"/>
  <c r="BD44" i="35"/>
  <c r="BC43" i="35"/>
  <c r="BB42" i="35"/>
  <c r="BA41" i="35"/>
  <c r="H42" i="39"/>
  <c r="I41" i="39"/>
  <c r="BD40" i="35"/>
  <c r="BC39" i="35"/>
  <c r="BB38" i="35"/>
  <c r="BA37" i="35"/>
  <c r="H38" i="39"/>
  <c r="I37" i="39"/>
  <c r="BD36" i="35"/>
  <c r="BC35" i="35"/>
  <c r="BB34" i="35"/>
  <c r="BA33" i="35"/>
  <c r="H34" i="39"/>
  <c r="I33" i="39"/>
  <c r="BD32" i="35"/>
  <c r="BC31" i="35"/>
  <c r="BB30" i="35"/>
  <c r="BA29" i="35"/>
  <c r="H30" i="39"/>
  <c r="I29" i="39"/>
  <c r="BD28" i="35"/>
  <c r="BC27" i="35"/>
  <c r="BB26" i="35"/>
  <c r="BA25" i="35"/>
  <c r="H26" i="39"/>
  <c r="I25" i="39"/>
  <c r="BD24" i="35"/>
  <c r="BC23" i="35"/>
  <c r="BB22" i="35"/>
  <c r="BA21" i="35"/>
  <c r="H22" i="39"/>
  <c r="I21" i="39"/>
  <c r="BD20" i="35"/>
  <c r="BC19" i="35"/>
  <c r="BB18" i="35"/>
  <c r="BA17" i="35"/>
  <c r="H18" i="39"/>
  <c r="I17" i="39"/>
  <c r="BD16" i="35"/>
  <c r="BC15" i="35"/>
  <c r="BB14" i="35"/>
  <c r="BA13" i="35"/>
  <c r="H14" i="39"/>
  <c r="I13" i="39"/>
  <c r="BD12" i="35"/>
  <c r="BC11" i="35"/>
  <c r="BB10" i="35"/>
  <c r="BA9" i="35"/>
  <c r="H10" i="39"/>
  <c r="I9" i="39"/>
  <c r="BD8" i="35"/>
  <c r="BC7" i="35"/>
  <c r="BB6" i="35"/>
  <c r="BA5" i="35"/>
  <c r="H6" i="39"/>
  <c r="I5" i="39"/>
  <c r="BD4" i="35"/>
  <c r="BC3" i="35"/>
  <c r="J63" i="39"/>
  <c r="AG39" i="35"/>
  <c r="AG87" i="35" s="1"/>
  <c r="J28" i="39"/>
  <c r="BO28" i="34"/>
  <c r="BN63" i="34" s="1"/>
  <c r="H121" i="35"/>
  <c r="H117" i="35"/>
  <c r="H109" i="35"/>
  <c r="H105" i="35"/>
  <c r="H97" i="35"/>
  <c r="H93" i="35"/>
  <c r="H85" i="35"/>
  <c r="H81" i="35"/>
  <c r="H77" i="35"/>
  <c r="H69" i="35"/>
  <c r="H65" i="35"/>
  <c r="H57" i="35"/>
  <c r="H53" i="35"/>
  <c r="H49" i="35"/>
  <c r="H41" i="35"/>
  <c r="H37" i="35"/>
  <c r="H29" i="35"/>
  <c r="H25" i="35"/>
  <c r="H17" i="35"/>
  <c r="H13" i="35"/>
  <c r="H5" i="35"/>
  <c r="H116" i="35"/>
  <c r="H108" i="35"/>
  <c r="H100" i="35"/>
  <c r="H96" i="35"/>
  <c r="H92" i="35"/>
  <c r="H84" i="35"/>
  <c r="H80" i="35"/>
  <c r="H72" i="35"/>
  <c r="H68" i="35"/>
  <c r="H60" i="35"/>
  <c r="H52" i="35"/>
  <c r="H48" i="35"/>
  <c r="H40" i="35"/>
  <c r="H36" i="35"/>
  <c r="H32" i="35"/>
  <c r="H24" i="35"/>
  <c r="H20" i="35"/>
  <c r="H12" i="35"/>
  <c r="H8" i="35"/>
  <c r="H119" i="35"/>
  <c r="H115" i="35"/>
  <c r="H111" i="35"/>
  <c r="H107" i="35"/>
  <c r="H103" i="35"/>
  <c r="H99" i="35"/>
  <c r="H95" i="35"/>
  <c r="H91" i="35"/>
  <c r="H87" i="35"/>
  <c r="H83" i="35"/>
  <c r="H79" i="35"/>
  <c r="H75" i="35"/>
  <c r="H71" i="35"/>
  <c r="H67" i="35"/>
  <c r="H63" i="35"/>
  <c r="H59" i="35"/>
  <c r="H55" i="35"/>
  <c r="H51" i="35"/>
  <c r="H47" i="35"/>
  <c r="H43" i="35"/>
  <c r="H39" i="35"/>
  <c r="H35" i="35"/>
  <c r="H31" i="35"/>
  <c r="H27" i="35"/>
  <c r="H23" i="35"/>
  <c r="H19" i="35"/>
  <c r="H15" i="35"/>
  <c r="H11" i="35"/>
  <c r="H7" i="35"/>
  <c r="H3" i="35"/>
  <c r="H113" i="35"/>
  <c r="H101" i="35"/>
  <c r="H89" i="35"/>
  <c r="H73" i="35"/>
  <c r="H61" i="35"/>
  <c r="H45" i="35"/>
  <c r="H33" i="35"/>
  <c r="H21" i="35"/>
  <c r="H9" i="35"/>
  <c r="H120" i="35"/>
  <c r="H112" i="35"/>
  <c r="H104" i="35"/>
  <c r="H88" i="35"/>
  <c r="H76" i="35"/>
  <c r="H64" i="35"/>
  <c r="H56" i="35"/>
  <c r="H44" i="35"/>
  <c r="H28" i="35"/>
  <c r="H16" i="35"/>
  <c r="H4" i="35"/>
  <c r="H2" i="35"/>
  <c r="H118" i="35"/>
  <c r="H114" i="35"/>
  <c r="H110" i="35"/>
  <c r="H106" i="35"/>
  <c r="H102" i="35"/>
  <c r="H98" i="35"/>
  <c r="H94" i="35"/>
  <c r="H90" i="35"/>
  <c r="H86" i="35"/>
  <c r="H82" i="35"/>
  <c r="H78" i="35"/>
  <c r="H74" i="35"/>
  <c r="H70" i="35"/>
  <c r="H66" i="35"/>
  <c r="H62" i="35"/>
  <c r="H58" i="35"/>
  <c r="H54" i="35"/>
  <c r="H50" i="35"/>
  <c r="H46" i="35"/>
  <c r="H42" i="35"/>
  <c r="H38" i="35"/>
  <c r="H34" i="35"/>
  <c r="H30" i="35"/>
  <c r="H26" i="35"/>
  <c r="H22" i="35"/>
  <c r="H18" i="35"/>
  <c r="H14" i="35"/>
  <c r="H10" i="35"/>
  <c r="H6" i="35"/>
  <c r="CJ55" i="34"/>
  <c r="CC70" i="34" s="1"/>
  <c r="CX28" i="34"/>
  <c r="CP70" i="34" s="1"/>
  <c r="AW21" i="35"/>
  <c r="AW25" i="35"/>
  <c r="BN28" i="34"/>
  <c r="BN62" i="34" s="1"/>
  <c r="CP55" i="34"/>
  <c r="CQ62" i="34" s="1"/>
  <c r="BI28" i="34"/>
  <c r="AZ71" i="34" s="1"/>
  <c r="CK28" i="34"/>
  <c r="CB71" i="34" s="1"/>
  <c r="CB55" i="34"/>
  <c r="CC62" i="34" s="1"/>
  <c r="AP28" i="34"/>
  <c r="AL66" i="34" s="1"/>
  <c r="BR28" i="34"/>
  <c r="BN66" i="34" s="1"/>
  <c r="AO28" i="34"/>
  <c r="AL65" i="34" s="1"/>
  <c r="AV55" i="34"/>
  <c r="AM72" i="34" s="1"/>
  <c r="CT55" i="34"/>
  <c r="CQ66" i="34" s="1"/>
  <c r="AV28" i="34"/>
  <c r="AL72" i="34" s="1"/>
  <c r="BC28" i="34"/>
  <c r="AZ65" i="34" s="1"/>
  <c r="BG28" i="34"/>
  <c r="AZ69" i="34" s="1"/>
  <c r="CV55" i="34"/>
  <c r="CQ68" i="34" s="1"/>
  <c r="CI28" i="34"/>
  <c r="CB69" i="34" s="1"/>
  <c r="CD28" i="34"/>
  <c r="CB64" i="34" s="1"/>
  <c r="CA55" i="34"/>
  <c r="CC61" i="34" s="1"/>
  <c r="CZ55" i="34"/>
  <c r="CQ72" i="34" s="1"/>
  <c r="AL28" i="34"/>
  <c r="AL62" i="34" s="1"/>
  <c r="AN55" i="34"/>
  <c r="AM64" i="34" s="1"/>
  <c r="CL28" i="34"/>
  <c r="CB72" i="34" s="1"/>
  <c r="AR55" i="34"/>
  <c r="AM68" i="34" s="1"/>
  <c r="BT55" i="34"/>
  <c r="BO68" i="34" s="1"/>
  <c r="BX55" i="34"/>
  <c r="BO72" i="34" s="1"/>
  <c r="CV28" i="34"/>
  <c r="CP68" i="34" s="1"/>
  <c r="AW23" i="35"/>
  <c r="AW17" i="35"/>
  <c r="AV33" i="35"/>
  <c r="AV45" i="35" s="1"/>
  <c r="AV57" i="35" s="1"/>
  <c r="AV69" i="35" s="1"/>
  <c r="AV81" i="35" s="1"/>
  <c r="AV93" i="35" s="1"/>
  <c r="AV105" i="35" s="1"/>
  <c r="AV117" i="35" s="1"/>
  <c r="AW19" i="35"/>
  <c r="AW15" i="35"/>
  <c r="AW47" i="35"/>
  <c r="AW43" i="35"/>
  <c r="AW27" i="35"/>
  <c r="AU79" i="35"/>
  <c r="AW79" i="35" s="1"/>
  <c r="AW67" i="35"/>
  <c r="AW59" i="35"/>
  <c r="AW39" i="35"/>
  <c r="AW51" i="35"/>
  <c r="AW35" i="35"/>
  <c r="AW41" i="35"/>
  <c r="AW31" i="35"/>
  <c r="AU95" i="35"/>
  <c r="AW83" i="35"/>
  <c r="AU87" i="35"/>
  <c r="AW75" i="35"/>
  <c r="AU73" i="35"/>
  <c r="AW61" i="35"/>
  <c r="AU69" i="35"/>
  <c r="AU65" i="35"/>
  <c r="AW49" i="35"/>
  <c r="AW71" i="35"/>
  <c r="AW63" i="35"/>
  <c r="AW55" i="35"/>
  <c r="AV53" i="35"/>
  <c r="AV65" i="35" s="1"/>
  <c r="AV77" i="35" s="1"/>
  <c r="AV89" i="35" s="1"/>
  <c r="AV101" i="35" s="1"/>
  <c r="AV113" i="35" s="1"/>
  <c r="AW24" i="35"/>
  <c r="AV36" i="35"/>
  <c r="AW22" i="35"/>
  <c r="AV34" i="35"/>
  <c r="AW20" i="35"/>
  <c r="AV32" i="35"/>
  <c r="AW18" i="35"/>
  <c r="AV30" i="35"/>
  <c r="AW16" i="35"/>
  <c r="AV28" i="35"/>
  <c r="AW45" i="35"/>
  <c r="AW37" i="35"/>
  <c r="AW29" i="35"/>
  <c r="BP55" i="34"/>
  <c r="BO64" i="34" s="1"/>
  <c r="CF55" i="34"/>
  <c r="CC66" i="34" s="1"/>
  <c r="AT28" i="34"/>
  <c r="AL70" i="34" s="1"/>
  <c r="CG55" i="34"/>
  <c r="CC67" i="34" s="1"/>
  <c r="AW26" i="35"/>
  <c r="AV38" i="35"/>
  <c r="AW14" i="35"/>
  <c r="AT55" i="34"/>
  <c r="AM70" i="34" s="1"/>
  <c r="CX55" i="34"/>
  <c r="CQ70" i="34" s="1"/>
  <c r="BV28" i="34"/>
  <c r="BN70" i="34" s="1"/>
  <c r="BR55" i="34"/>
  <c r="BO66" i="34" s="1"/>
  <c r="BV55" i="34"/>
  <c r="BO70" i="34" s="1"/>
  <c r="BW28" i="34"/>
  <c r="BN71" i="34" s="1"/>
  <c r="CC55" i="34"/>
  <c r="CC63" i="34" s="1"/>
  <c r="BN55" i="34"/>
  <c r="BO62" i="34" s="1"/>
  <c r="CT28" i="34"/>
  <c r="CP66" i="34" s="1"/>
  <c r="CE28" i="34"/>
  <c r="CB65" i="34" s="1"/>
  <c r="CI55" i="34"/>
  <c r="CC69" i="34" s="1"/>
  <c r="CG28" i="34"/>
  <c r="CB67" i="34" s="1"/>
  <c r="CK55" i="34"/>
  <c r="CC71" i="34" s="1"/>
  <c r="AY28" i="34"/>
  <c r="AZ61" i="34" s="1"/>
  <c r="BX28" i="34"/>
  <c r="BN72" i="34" s="1"/>
  <c r="BA28" i="34"/>
  <c r="AZ63" i="34" s="1"/>
  <c r="AR28" i="34"/>
  <c r="AL68" i="34" s="1"/>
  <c r="DN55" i="34"/>
  <c r="DE72" i="34" s="1"/>
  <c r="AW6" i="34"/>
  <c r="AW7" i="34"/>
  <c r="AW8" i="34"/>
  <c r="AW10" i="34"/>
  <c r="AW11" i="34"/>
  <c r="AW12" i="34"/>
  <c r="AW14" i="34"/>
  <c r="AW15" i="34"/>
  <c r="AW16" i="34"/>
  <c r="AW18" i="34"/>
  <c r="AW19" i="34"/>
  <c r="AW20" i="34"/>
  <c r="AW22" i="34"/>
  <c r="AW23" i="34"/>
  <c r="AW24" i="34"/>
  <c r="AW32" i="34"/>
  <c r="AW34" i="34"/>
  <c r="AW35" i="34"/>
  <c r="AW36" i="34"/>
  <c r="AW38" i="34"/>
  <c r="AW39" i="34"/>
  <c r="AW40" i="34"/>
  <c r="AW42" i="34"/>
  <c r="AW43" i="34"/>
  <c r="AW44" i="34"/>
  <c r="AW46" i="34"/>
  <c r="AW47" i="34"/>
  <c r="AW48" i="34"/>
  <c r="AW50" i="34"/>
  <c r="AW51" i="34"/>
  <c r="AW9" i="34"/>
  <c r="AW13" i="34"/>
  <c r="AW17" i="34"/>
  <c r="AW21" i="34"/>
  <c r="AW33" i="34"/>
  <c r="AW37" i="34"/>
  <c r="AW41" i="34"/>
  <c r="AW45" i="34"/>
  <c r="AW49" i="34"/>
  <c r="AW5" i="34"/>
  <c r="BB28" i="34"/>
  <c r="AZ64" i="34" s="1"/>
  <c r="X28" i="34"/>
  <c r="X62" i="34" s="1"/>
  <c r="CH28" i="34"/>
  <c r="CB68" i="34" s="1"/>
  <c r="CZ28" i="34"/>
  <c r="CP72" i="34" s="1"/>
  <c r="BT28" i="34"/>
  <c r="BN68" i="34" s="1"/>
  <c r="CR55" i="34"/>
  <c r="CQ64" i="34" s="1"/>
  <c r="DD60" i="34"/>
  <c r="DI60" i="34" s="1"/>
  <c r="DE60" i="34"/>
  <c r="DJ60" i="34" s="1"/>
  <c r="CC28" i="34"/>
  <c r="CB63" i="34" s="1"/>
  <c r="DJ55" i="34"/>
  <c r="DE68" i="34" s="1"/>
  <c r="DF55" i="34"/>
  <c r="DE64" i="34" s="1"/>
  <c r="BF28" i="34"/>
  <c r="AZ68" i="34" s="1"/>
  <c r="BJ28" i="34"/>
  <c r="AZ72" i="34" s="1"/>
  <c r="CR28" i="34"/>
  <c r="CP64" i="34" s="1"/>
  <c r="AS28" i="34"/>
  <c r="AL69" i="34" s="1"/>
  <c r="AA28" i="34"/>
  <c r="X65" i="34" s="1"/>
  <c r="W55" i="34"/>
  <c r="Y61" i="34" s="1"/>
  <c r="W28" i="34"/>
  <c r="X61" i="34" s="1"/>
  <c r="AE55" i="34"/>
  <c r="Y69" i="34" s="1"/>
  <c r="AA55" i="34"/>
  <c r="Y65" i="34" s="1"/>
  <c r="DE55" i="34"/>
  <c r="DE63" i="34" s="1"/>
  <c r="DI55" i="34"/>
  <c r="DE67" i="34" s="1"/>
  <c r="DM55" i="34"/>
  <c r="DE71" i="34" s="1"/>
  <c r="DE28" i="34"/>
  <c r="DD63" i="34" s="1"/>
  <c r="DI28" i="34"/>
  <c r="DD67" i="34" s="1"/>
  <c r="DM28" i="34"/>
  <c r="DD71" i="34" s="1"/>
  <c r="DF28" i="34"/>
  <c r="DD64" i="34" s="1"/>
  <c r="DJ28" i="34"/>
  <c r="DD68" i="34" s="1"/>
  <c r="DN28" i="34"/>
  <c r="DD72" i="34" s="1"/>
  <c r="DC55" i="34"/>
  <c r="DE61" i="34" s="1"/>
  <c r="DG55" i="34"/>
  <c r="DE65" i="34" s="1"/>
  <c r="DK55" i="34"/>
  <c r="DE69" i="34" s="1"/>
  <c r="DD55" i="34"/>
  <c r="DE62" i="34" s="1"/>
  <c r="DH55" i="34"/>
  <c r="DE66" i="34" s="1"/>
  <c r="DL55" i="34"/>
  <c r="DE70" i="34" s="1"/>
  <c r="DC28" i="34"/>
  <c r="DD61" i="34" s="1"/>
  <c r="DG28" i="34"/>
  <c r="DD65" i="34" s="1"/>
  <c r="DK28" i="34"/>
  <c r="DD69" i="34" s="1"/>
  <c r="DD28" i="34"/>
  <c r="DD62" i="34" s="1"/>
  <c r="DH28" i="34"/>
  <c r="DD66" i="34" s="1"/>
  <c r="DL28" i="34"/>
  <c r="DD70" i="34" s="1"/>
  <c r="DB7" i="34"/>
  <c r="DB35" i="34"/>
  <c r="DB36" i="34" s="1"/>
  <c r="DB37" i="34" s="1"/>
  <c r="DB38" i="34" s="1"/>
  <c r="DB39" i="34" s="1"/>
  <c r="DB40" i="34" s="1"/>
  <c r="DB41" i="34" s="1"/>
  <c r="DB42" i="34" s="1"/>
  <c r="DB43" i="34" s="1"/>
  <c r="DB44" i="34" s="1"/>
  <c r="DB45" i="34" s="1"/>
  <c r="DB46" i="34" s="1"/>
  <c r="DB47" i="34" s="1"/>
  <c r="DB48" i="34" s="1"/>
  <c r="DB49" i="34" s="1"/>
  <c r="DB50" i="34" s="1"/>
  <c r="DB51" i="34" s="1"/>
  <c r="DB52" i="34" s="1"/>
  <c r="DB53" i="34" s="1"/>
  <c r="AC55" i="34"/>
  <c r="Y67" i="34" s="1"/>
  <c r="AE28" i="34"/>
  <c r="X69" i="34" s="1"/>
  <c r="Y28" i="34"/>
  <c r="X63" i="34" s="1"/>
  <c r="AG55" i="34"/>
  <c r="Y71" i="34" s="1"/>
  <c r="Y55" i="34"/>
  <c r="Y63" i="34" s="1"/>
  <c r="BP28" i="34"/>
  <c r="BN64" i="34" s="1"/>
  <c r="CA28" i="34"/>
  <c r="CB61" i="34" s="1"/>
  <c r="CE55" i="34"/>
  <c r="CC65" i="34" s="1"/>
  <c r="AL55" i="34"/>
  <c r="AM62" i="34" s="1"/>
  <c r="AP55" i="34"/>
  <c r="AM66" i="34" s="1"/>
  <c r="AC28" i="34"/>
  <c r="X67" i="34" s="1"/>
  <c r="AG28" i="34"/>
  <c r="X71" i="34" s="1"/>
  <c r="CP28" i="34"/>
  <c r="CP62" i="34" s="1"/>
  <c r="AM28" i="34"/>
  <c r="AL63" i="34" s="1"/>
  <c r="AQ28" i="34"/>
  <c r="AL67" i="34" s="1"/>
  <c r="AU28" i="34"/>
  <c r="AL71" i="34" s="1"/>
  <c r="CQ28" i="34"/>
  <c r="CP63" i="34" s="1"/>
  <c r="CU28" i="34"/>
  <c r="CP67" i="34" s="1"/>
  <c r="CY28" i="34"/>
  <c r="CP71" i="34" s="1"/>
  <c r="BS28" i="34"/>
  <c r="BN67" i="34" s="1"/>
  <c r="AS25" i="34"/>
  <c r="AU26" i="34"/>
  <c r="AQ71" i="34" s="1"/>
  <c r="AX10" i="34"/>
  <c r="AX11" i="34" s="1"/>
  <c r="AX12" i="34" s="1"/>
  <c r="AX13" i="34" s="1"/>
  <c r="AX14" i="34" s="1"/>
  <c r="AX15" i="34" s="1"/>
  <c r="AX16" i="34" s="1"/>
  <c r="AX17" i="34" s="1"/>
  <c r="AX18" i="34" s="1"/>
  <c r="AX19" i="34" s="1"/>
  <c r="AX20" i="34" s="1"/>
  <c r="AX21" i="34" s="1"/>
  <c r="AX22" i="34" s="1"/>
  <c r="AX23" i="34" s="1"/>
  <c r="AX24" i="34" s="1"/>
  <c r="AX25" i="34" s="1"/>
  <c r="AX26" i="34" s="1"/>
  <c r="BZ7" i="34"/>
  <c r="BZ8" i="34" s="1"/>
  <c r="BZ9" i="34" s="1"/>
  <c r="BZ10" i="34" s="1"/>
  <c r="BZ11" i="34" s="1"/>
  <c r="BZ12" i="34" s="1"/>
  <c r="BZ13" i="34" s="1"/>
  <c r="BZ14" i="34" s="1"/>
  <c r="BZ15" i="34" s="1"/>
  <c r="BZ16" i="34" s="1"/>
  <c r="BZ17" i="34" s="1"/>
  <c r="BZ18" i="34" s="1"/>
  <c r="BZ19" i="34" s="1"/>
  <c r="BZ20" i="34" s="1"/>
  <c r="BZ21" i="34" s="1"/>
  <c r="BZ22" i="34" s="1"/>
  <c r="BZ23" i="34" s="1"/>
  <c r="BZ24" i="34" s="1"/>
  <c r="BZ25" i="34" s="1"/>
  <c r="BZ26" i="34" s="1"/>
  <c r="CK25" i="34"/>
  <c r="AT26" i="34"/>
  <c r="AQ70" i="34" s="1"/>
  <c r="CX26" i="34"/>
  <c r="CU70" i="34" s="1"/>
  <c r="AB28" i="34"/>
  <c r="X66" i="34" s="1"/>
  <c r="AF28" i="34"/>
  <c r="X70" i="34" s="1"/>
  <c r="BM28" i="34"/>
  <c r="BN61" i="34" s="1"/>
  <c r="BQ28" i="34"/>
  <c r="BN65" i="34" s="1"/>
  <c r="BU28" i="34"/>
  <c r="BN69" i="34" s="1"/>
  <c r="CO28" i="34"/>
  <c r="CP61" i="34" s="1"/>
  <c r="CS28" i="34"/>
  <c r="CP65" i="34" s="1"/>
  <c r="CW28" i="34"/>
  <c r="CP69" i="34" s="1"/>
  <c r="CW25" i="34"/>
  <c r="CY26" i="34"/>
  <c r="CU71" i="34" s="1"/>
  <c r="AX35" i="34"/>
  <c r="AX36" i="34" s="1"/>
  <c r="AX37" i="34" s="1"/>
  <c r="AX38" i="34" s="1"/>
  <c r="AX39" i="34" s="1"/>
  <c r="AX40" i="34" s="1"/>
  <c r="AX41" i="34" s="1"/>
  <c r="AX42" i="34" s="1"/>
  <c r="AX43" i="34" s="1"/>
  <c r="AX44" i="34" s="1"/>
  <c r="AX45" i="34" s="1"/>
  <c r="AX46" i="34" s="1"/>
  <c r="AX47" i="34" s="1"/>
  <c r="AX48" i="34" s="1"/>
  <c r="AX49" i="34" s="1"/>
  <c r="AX50" i="34" s="1"/>
  <c r="AX51" i="34" s="1"/>
  <c r="AX52" i="34" s="1"/>
  <c r="AX53" i="34" s="1"/>
  <c r="BO55" i="34"/>
  <c r="BO63" i="34" s="1"/>
  <c r="BS55" i="34"/>
  <c r="BO67" i="34" s="1"/>
  <c r="BW55" i="34"/>
  <c r="BO71" i="34" s="1"/>
  <c r="AB26" i="34"/>
  <c r="AC66" i="34" s="1"/>
  <c r="V7" i="34"/>
  <c r="V8" i="34" s="1"/>
  <c r="V9" i="34" s="1"/>
  <c r="V10" i="34" s="1"/>
  <c r="V11" i="34" s="1"/>
  <c r="V12" i="34" s="1"/>
  <c r="V13" i="34" s="1"/>
  <c r="V14" i="34" s="1"/>
  <c r="V15" i="34" s="1"/>
  <c r="V16" i="34" s="1"/>
  <c r="V17" i="34" s="1"/>
  <c r="V18" i="34" s="1"/>
  <c r="V19" i="34" s="1"/>
  <c r="V20" i="34" s="1"/>
  <c r="V21" i="34" s="1"/>
  <c r="V22" i="34" s="1"/>
  <c r="V23" i="34" s="1"/>
  <c r="V24" i="34" s="1"/>
  <c r="V25" i="34" s="1"/>
  <c r="V26" i="34" s="1"/>
  <c r="Y25" i="34"/>
  <c r="CS25" i="34"/>
  <c r="AJ36" i="34"/>
  <c r="AJ37" i="34" s="1"/>
  <c r="AJ38" i="34" s="1"/>
  <c r="AJ39" i="34" s="1"/>
  <c r="AJ40" i="34" s="1"/>
  <c r="AJ41" i="34" s="1"/>
  <c r="AJ42" i="34" s="1"/>
  <c r="AJ43" i="34" s="1"/>
  <c r="AJ44" i="34" s="1"/>
  <c r="AJ45" i="34" s="1"/>
  <c r="AJ46" i="34" s="1"/>
  <c r="AJ47" i="34" s="1"/>
  <c r="AJ48" i="34" s="1"/>
  <c r="AJ49" i="34" s="1"/>
  <c r="AJ50" i="34" s="1"/>
  <c r="AJ51" i="34" s="1"/>
  <c r="AJ52" i="34" s="1"/>
  <c r="AJ53" i="34" s="1"/>
  <c r="AZ28" i="34"/>
  <c r="AZ62" i="34" s="1"/>
  <c r="BD28" i="34"/>
  <c r="AZ66" i="34" s="1"/>
  <c r="BH28" i="34"/>
  <c r="AZ70" i="34" s="1"/>
  <c r="CB28" i="34"/>
  <c r="CB62" i="34" s="1"/>
  <c r="CF28" i="34"/>
  <c r="CB66" i="34" s="1"/>
  <c r="CJ28" i="34"/>
  <c r="CB70" i="34" s="1"/>
  <c r="AK25" i="34"/>
  <c r="AM26" i="34"/>
  <c r="AQ63" i="34" s="1"/>
  <c r="BD26" i="34"/>
  <c r="BE66" i="34" s="1"/>
  <c r="V34" i="34"/>
  <c r="V35" i="34" s="1"/>
  <c r="V36" i="34" s="1"/>
  <c r="V37" i="34" s="1"/>
  <c r="V38" i="34" s="1"/>
  <c r="V39" i="34" s="1"/>
  <c r="V40" i="34" s="1"/>
  <c r="V41" i="34" s="1"/>
  <c r="V42" i="34" s="1"/>
  <c r="V43" i="34" s="1"/>
  <c r="V44" i="34" s="1"/>
  <c r="V45" i="34" s="1"/>
  <c r="V46" i="34" s="1"/>
  <c r="V47" i="34" s="1"/>
  <c r="V48" i="34" s="1"/>
  <c r="V49" i="34" s="1"/>
  <c r="V50" i="34" s="1"/>
  <c r="V51" i="34" s="1"/>
  <c r="V52" i="34" s="1"/>
  <c r="V53" i="34" s="1"/>
  <c r="BZ34" i="34"/>
  <c r="BZ35" i="34" s="1"/>
  <c r="BZ36" i="34" s="1"/>
  <c r="BZ37" i="34" s="1"/>
  <c r="BZ38" i="34" s="1"/>
  <c r="BZ39" i="34" s="1"/>
  <c r="BZ40" i="34" s="1"/>
  <c r="BZ41" i="34" s="1"/>
  <c r="BZ42" i="34" s="1"/>
  <c r="BZ43" i="34" s="1"/>
  <c r="BZ44" i="34" s="1"/>
  <c r="BZ45" i="34" s="1"/>
  <c r="BZ46" i="34" s="1"/>
  <c r="BZ47" i="34" s="1"/>
  <c r="BZ48" i="34" s="1"/>
  <c r="BZ49" i="34" s="1"/>
  <c r="BZ50" i="34" s="1"/>
  <c r="BZ51" i="34" s="1"/>
  <c r="BZ52" i="34" s="1"/>
  <c r="BZ53" i="34" s="1"/>
  <c r="CN36" i="34"/>
  <c r="CN37" i="34" s="1"/>
  <c r="CN38" i="34" s="1"/>
  <c r="CN39" i="34" s="1"/>
  <c r="CN40" i="34" s="1"/>
  <c r="CN41" i="34" s="1"/>
  <c r="CN42" i="34" s="1"/>
  <c r="CN43" i="34" s="1"/>
  <c r="CN44" i="34" s="1"/>
  <c r="CN45" i="34" s="1"/>
  <c r="CN46" i="34" s="1"/>
  <c r="CN47" i="34" s="1"/>
  <c r="CN48" i="34" s="1"/>
  <c r="CN49" i="34" s="1"/>
  <c r="CN50" i="34" s="1"/>
  <c r="CN51" i="34" s="1"/>
  <c r="CN52" i="34" s="1"/>
  <c r="CN53" i="34" s="1"/>
  <c r="AK55" i="34"/>
  <c r="AO55" i="34"/>
  <c r="AM65" i="34" s="1"/>
  <c r="AS55" i="34"/>
  <c r="AM69" i="34" s="1"/>
  <c r="CU26" i="34"/>
  <c r="CU67" i="34" s="1"/>
  <c r="Z28" i="34"/>
  <c r="X64" i="34" s="1"/>
  <c r="AD28" i="34"/>
  <c r="X68" i="34" s="1"/>
  <c r="AH28" i="34"/>
  <c r="X72" i="34" s="1"/>
  <c r="AO25" i="34"/>
  <c r="BF25" i="34"/>
  <c r="CO25" i="34"/>
  <c r="AQ26" i="34"/>
  <c r="AQ67" i="34" s="1"/>
  <c r="BH26" i="34"/>
  <c r="BE70" i="34" s="1"/>
  <c r="CQ26" i="34"/>
  <c r="CU63" i="34" s="1"/>
  <c r="X55" i="34"/>
  <c r="Y62" i="34" s="1"/>
  <c r="AB55" i="34"/>
  <c r="Y66" i="34" s="1"/>
  <c r="AF55" i="34"/>
  <c r="Y70" i="34" s="1"/>
  <c r="CO55" i="34"/>
  <c r="CQ61" i="34" s="1"/>
  <c r="CS55" i="34"/>
  <c r="CQ65" i="34" s="1"/>
  <c r="CW55" i="34"/>
  <c r="CQ69" i="34" s="1"/>
  <c r="BL7" i="34"/>
  <c r="AL25" i="34"/>
  <c r="AP25" i="34"/>
  <c r="AT25" i="34"/>
  <c r="AY25" i="34"/>
  <c r="CP25" i="34"/>
  <c r="CT25" i="34"/>
  <c r="CX25" i="34"/>
  <c r="AR26" i="34"/>
  <c r="AQ68" i="34" s="1"/>
  <c r="AV26" i="34"/>
  <c r="AQ72" i="34" s="1"/>
  <c r="BI26" i="34"/>
  <c r="BE71" i="34" s="1"/>
  <c r="CR26" i="34"/>
  <c r="CU64" i="34" s="1"/>
  <c r="CV26" i="34"/>
  <c r="CU68" i="34" s="1"/>
  <c r="CZ26" i="34"/>
  <c r="CU72" i="34" s="1"/>
  <c r="AS53" i="34"/>
  <c r="AR69" i="34" s="1"/>
  <c r="AO53" i="34"/>
  <c r="AR65" i="34" s="1"/>
  <c r="AK53" i="34"/>
  <c r="AV53" i="34"/>
  <c r="AR72" i="34" s="1"/>
  <c r="AR53" i="34"/>
  <c r="AR68" i="34" s="1"/>
  <c r="AN53" i="34"/>
  <c r="AR64" i="34" s="1"/>
  <c r="AU53" i="34"/>
  <c r="AR71" i="34" s="1"/>
  <c r="AQ53" i="34"/>
  <c r="AR67" i="34" s="1"/>
  <c r="AM53" i="34"/>
  <c r="AR63" i="34" s="1"/>
  <c r="CS53" i="34"/>
  <c r="CV65" i="34" s="1"/>
  <c r="CV53" i="34"/>
  <c r="CV68" i="34" s="1"/>
  <c r="CY53" i="34"/>
  <c r="CV71" i="34" s="1"/>
  <c r="CO52" i="34"/>
  <c r="BL34" i="34"/>
  <c r="AL52" i="34"/>
  <c r="AP52" i="34"/>
  <c r="AT52" i="34"/>
  <c r="AT53" i="34"/>
  <c r="AR70" i="34" s="1"/>
  <c r="AM25" i="34"/>
  <c r="AQ25" i="34"/>
  <c r="AU25" i="34"/>
  <c r="BD25" i="34"/>
  <c r="BH25" i="34"/>
  <c r="CQ25" i="34"/>
  <c r="CU25" i="34"/>
  <c r="CY25" i="34"/>
  <c r="AK26" i="34"/>
  <c r="AO26" i="34"/>
  <c r="AQ65" i="34" s="1"/>
  <c r="AS26" i="34"/>
  <c r="AQ69" i="34" s="1"/>
  <c r="BB26" i="34"/>
  <c r="BE64" i="34" s="1"/>
  <c r="BF26" i="34"/>
  <c r="BE68" i="34" s="1"/>
  <c r="CO26" i="34"/>
  <c r="CU61" i="34" s="1"/>
  <c r="CS26" i="34"/>
  <c r="CU65" i="34" s="1"/>
  <c r="CW26" i="34"/>
  <c r="CU69" i="34" s="1"/>
  <c r="BD53" i="34"/>
  <c r="BF66" i="34" s="1"/>
  <c r="Z55" i="34"/>
  <c r="Y64" i="34" s="1"/>
  <c r="AD55" i="34"/>
  <c r="Y68" i="34" s="1"/>
  <c r="AH55" i="34"/>
  <c r="Y72" i="34" s="1"/>
  <c r="AM55" i="34"/>
  <c r="AM63" i="34" s="1"/>
  <c r="AQ55" i="34"/>
  <c r="AM67" i="34" s="1"/>
  <c r="AU55" i="34"/>
  <c r="AM71" i="34" s="1"/>
  <c r="BM55" i="34"/>
  <c r="BO61" i="34" s="1"/>
  <c r="BQ55" i="34"/>
  <c r="BO65" i="34" s="1"/>
  <c r="BU55" i="34"/>
  <c r="BO69" i="34" s="1"/>
  <c r="CD55" i="34"/>
  <c r="CC64" i="34" s="1"/>
  <c r="CH55" i="34"/>
  <c r="CC68" i="34" s="1"/>
  <c r="CL55" i="34"/>
  <c r="CC72" i="34" s="1"/>
  <c r="CQ55" i="34"/>
  <c r="CQ63" i="34" s="1"/>
  <c r="CU55" i="34"/>
  <c r="CQ67" i="34" s="1"/>
  <c r="CY55" i="34"/>
  <c r="CQ71" i="34" s="1"/>
  <c r="AM52" i="34"/>
  <c r="AQ52" i="34"/>
  <c r="AU52" i="34"/>
  <c r="CV52" i="34"/>
  <c r="AR25" i="34"/>
  <c r="AV25" i="34"/>
  <c r="BI25" i="34"/>
  <c r="CR25" i="34"/>
  <c r="CV25" i="34"/>
  <c r="CZ25" i="34"/>
  <c r="AL26" i="34"/>
  <c r="AQ62" i="34" s="1"/>
  <c r="AP26" i="34"/>
  <c r="AQ66" i="34" s="1"/>
  <c r="CP26" i="34"/>
  <c r="CU62" i="34" s="1"/>
  <c r="CT26" i="34"/>
  <c r="CU66" i="34" s="1"/>
  <c r="AN52" i="34"/>
  <c r="AR52" i="34"/>
  <c r="AV52" i="34"/>
  <c r="AL53" i="34"/>
  <c r="AR62" i="34" s="1"/>
  <c r="I123" i="39" l="1"/>
  <c r="I135" i="39" s="1"/>
  <c r="H170" i="39"/>
  <c r="H177" i="39"/>
  <c r="H173" i="39"/>
  <c r="H180" i="39"/>
  <c r="I174" i="39"/>
  <c r="H176" i="39"/>
  <c r="H171" i="39"/>
  <c r="H178" i="39"/>
  <c r="H179" i="39"/>
  <c r="H172" i="39"/>
  <c r="H174" i="39"/>
  <c r="H175" i="39"/>
  <c r="D151" i="39"/>
  <c r="D152" i="39"/>
  <c r="D153" i="39"/>
  <c r="D154" i="39"/>
  <c r="D155" i="39"/>
  <c r="D156" i="39"/>
  <c r="D159" i="39"/>
  <c r="D150" i="39"/>
  <c r="D157" i="39"/>
  <c r="D158" i="39"/>
  <c r="D151" i="43"/>
  <c r="B6" i="44" s="1"/>
  <c r="D152" i="43"/>
  <c r="B7" i="44" s="1"/>
  <c r="D153" i="43"/>
  <c r="B8" i="44" s="1"/>
  <c r="D154" i="43"/>
  <c r="B9" i="44" s="1"/>
  <c r="D155" i="43"/>
  <c r="B10" i="44" s="1"/>
  <c r="D156" i="43"/>
  <c r="B11" i="44" s="1"/>
  <c r="D157" i="43"/>
  <c r="B12" i="44" s="1"/>
  <c r="D158" i="43"/>
  <c r="B13" i="44" s="1"/>
  <c r="D159" i="43"/>
  <c r="B14" i="44" s="1"/>
  <c r="D150" i="43"/>
  <c r="I130" i="43"/>
  <c r="I142" i="43" s="1"/>
  <c r="K10" i="43"/>
  <c r="K22" i="43" s="1"/>
  <c r="K34" i="43" s="1"/>
  <c r="K46" i="43" s="1"/>
  <c r="K58" i="43" s="1"/>
  <c r="K70" i="43" s="1"/>
  <c r="K82" i="43" s="1"/>
  <c r="K94" i="43" s="1"/>
  <c r="K106" i="43" s="1"/>
  <c r="K118" i="43" s="1"/>
  <c r="H129" i="43"/>
  <c r="J9" i="43"/>
  <c r="J21" i="43" s="1"/>
  <c r="J33" i="43" s="1"/>
  <c r="J45" i="43" s="1"/>
  <c r="J57" i="43" s="1"/>
  <c r="J69" i="43" s="1"/>
  <c r="J81" i="43" s="1"/>
  <c r="J93" i="43" s="1"/>
  <c r="J105" i="43" s="1"/>
  <c r="J117" i="43" s="1"/>
  <c r="I124" i="43"/>
  <c r="I136" i="43" s="1"/>
  <c r="K4" i="43"/>
  <c r="K16" i="43" s="1"/>
  <c r="K28" i="43" s="1"/>
  <c r="K40" i="43" s="1"/>
  <c r="K52" i="43" s="1"/>
  <c r="K64" i="43" s="1"/>
  <c r="K76" i="43" s="1"/>
  <c r="K88" i="43" s="1"/>
  <c r="K100" i="43" s="1"/>
  <c r="K112" i="43" s="1"/>
  <c r="I129" i="43"/>
  <c r="I141" i="43" s="1"/>
  <c r="K9" i="43"/>
  <c r="K21" i="43" s="1"/>
  <c r="K33" i="43" s="1"/>
  <c r="K45" i="43" s="1"/>
  <c r="K57" i="43" s="1"/>
  <c r="K69" i="43" s="1"/>
  <c r="K81" i="43" s="1"/>
  <c r="K93" i="43" s="1"/>
  <c r="K105" i="43" s="1"/>
  <c r="K117" i="43" s="1"/>
  <c r="I126" i="43"/>
  <c r="I138" i="43" s="1"/>
  <c r="K6" i="43"/>
  <c r="K18" i="43" s="1"/>
  <c r="K30" i="43" s="1"/>
  <c r="K42" i="43" s="1"/>
  <c r="K54" i="43" s="1"/>
  <c r="K66" i="43" s="1"/>
  <c r="K78" i="43" s="1"/>
  <c r="K90" i="43" s="1"/>
  <c r="K102" i="43" s="1"/>
  <c r="K114" i="43" s="1"/>
  <c r="H125" i="43"/>
  <c r="J5" i="43"/>
  <c r="J17" i="43" s="1"/>
  <c r="J29" i="43" s="1"/>
  <c r="J41" i="43" s="1"/>
  <c r="J53" i="43" s="1"/>
  <c r="J65" i="43" s="1"/>
  <c r="J77" i="43" s="1"/>
  <c r="J89" i="43" s="1"/>
  <c r="J101" i="43" s="1"/>
  <c r="J113" i="43" s="1"/>
  <c r="H131" i="43"/>
  <c r="J11" i="43"/>
  <c r="J23" i="43" s="1"/>
  <c r="J35" i="43" s="1"/>
  <c r="J47" i="43" s="1"/>
  <c r="J59" i="43" s="1"/>
  <c r="J71" i="43" s="1"/>
  <c r="J83" i="43" s="1"/>
  <c r="J95" i="43" s="1"/>
  <c r="J107" i="43" s="1"/>
  <c r="J119" i="43" s="1"/>
  <c r="H130" i="43"/>
  <c r="J10" i="43"/>
  <c r="J22" i="43" s="1"/>
  <c r="J34" i="43" s="1"/>
  <c r="J46" i="43" s="1"/>
  <c r="J58" i="43" s="1"/>
  <c r="J70" i="43" s="1"/>
  <c r="J82" i="43" s="1"/>
  <c r="J94" i="43" s="1"/>
  <c r="J106" i="43" s="1"/>
  <c r="J118" i="43" s="1"/>
  <c r="H124" i="43"/>
  <c r="J4" i="43"/>
  <c r="J16" i="43" s="1"/>
  <c r="J28" i="43" s="1"/>
  <c r="J40" i="43" s="1"/>
  <c r="J52" i="43" s="1"/>
  <c r="J64" i="43" s="1"/>
  <c r="J76" i="43" s="1"/>
  <c r="J88" i="43" s="1"/>
  <c r="J100" i="43" s="1"/>
  <c r="J112" i="43" s="1"/>
  <c r="H134" i="43"/>
  <c r="J14" i="43"/>
  <c r="J26" i="43" s="1"/>
  <c r="J38" i="43" s="1"/>
  <c r="J50" i="43" s="1"/>
  <c r="J62" i="43" s="1"/>
  <c r="J74" i="43" s="1"/>
  <c r="J86" i="43" s="1"/>
  <c r="J98" i="43" s="1"/>
  <c r="J110" i="43" s="1"/>
  <c r="J122" i="43" s="1"/>
  <c r="H127" i="43"/>
  <c r="J7" i="43"/>
  <c r="J19" i="43" s="1"/>
  <c r="J31" i="43" s="1"/>
  <c r="J43" i="43" s="1"/>
  <c r="J55" i="43" s="1"/>
  <c r="J67" i="43" s="1"/>
  <c r="J79" i="43" s="1"/>
  <c r="J91" i="43" s="1"/>
  <c r="J103" i="43" s="1"/>
  <c r="J115" i="43" s="1"/>
  <c r="I132" i="43"/>
  <c r="I144" i="43" s="1"/>
  <c r="K12" i="43"/>
  <c r="K24" i="43" s="1"/>
  <c r="K36" i="43" s="1"/>
  <c r="K48" i="43" s="1"/>
  <c r="K60" i="43" s="1"/>
  <c r="K72" i="43" s="1"/>
  <c r="K84" i="43" s="1"/>
  <c r="K96" i="43" s="1"/>
  <c r="K108" i="43" s="1"/>
  <c r="K120" i="43" s="1"/>
  <c r="I131" i="43"/>
  <c r="I143" i="43" s="1"/>
  <c r="K11" i="43"/>
  <c r="K23" i="43" s="1"/>
  <c r="K35" i="43" s="1"/>
  <c r="K47" i="43" s="1"/>
  <c r="K59" i="43" s="1"/>
  <c r="K71" i="43" s="1"/>
  <c r="K83" i="43" s="1"/>
  <c r="K95" i="43" s="1"/>
  <c r="K107" i="43" s="1"/>
  <c r="K119" i="43" s="1"/>
  <c r="H132" i="43"/>
  <c r="J12" i="43"/>
  <c r="J24" i="43" s="1"/>
  <c r="J36" i="43" s="1"/>
  <c r="J48" i="43" s="1"/>
  <c r="J60" i="43" s="1"/>
  <c r="J72" i="43" s="1"/>
  <c r="J84" i="43" s="1"/>
  <c r="J96" i="43" s="1"/>
  <c r="J108" i="43" s="1"/>
  <c r="J120" i="43" s="1"/>
  <c r="H126" i="43"/>
  <c r="J6" i="43"/>
  <c r="J18" i="43" s="1"/>
  <c r="J30" i="43" s="1"/>
  <c r="J42" i="43" s="1"/>
  <c r="J54" i="43" s="1"/>
  <c r="J66" i="43" s="1"/>
  <c r="J78" i="43" s="1"/>
  <c r="J90" i="43" s="1"/>
  <c r="J102" i="43" s="1"/>
  <c r="J114" i="43" s="1"/>
  <c r="I125" i="43"/>
  <c r="I137" i="43" s="1"/>
  <c r="K5" i="43"/>
  <c r="K17" i="43" s="1"/>
  <c r="K29" i="43" s="1"/>
  <c r="K41" i="43" s="1"/>
  <c r="K53" i="43" s="1"/>
  <c r="K65" i="43" s="1"/>
  <c r="K77" i="43" s="1"/>
  <c r="K89" i="43" s="1"/>
  <c r="K101" i="43" s="1"/>
  <c r="K113" i="43" s="1"/>
  <c r="H128" i="43"/>
  <c r="J8" i="43"/>
  <c r="J20" i="43" s="1"/>
  <c r="J32" i="43" s="1"/>
  <c r="J44" i="43" s="1"/>
  <c r="J56" i="43" s="1"/>
  <c r="J68" i="43" s="1"/>
  <c r="J80" i="43" s="1"/>
  <c r="J92" i="43" s="1"/>
  <c r="J104" i="43" s="1"/>
  <c r="J116" i="43" s="1"/>
  <c r="I134" i="43"/>
  <c r="I146" i="43" s="1"/>
  <c r="K14" i="43"/>
  <c r="K26" i="43" s="1"/>
  <c r="K38" i="43" s="1"/>
  <c r="K50" i="43" s="1"/>
  <c r="K62" i="43" s="1"/>
  <c r="K74" i="43" s="1"/>
  <c r="K86" i="43" s="1"/>
  <c r="K98" i="43" s="1"/>
  <c r="K110" i="43" s="1"/>
  <c r="K122" i="43" s="1"/>
  <c r="H133" i="43"/>
  <c r="J13" i="43"/>
  <c r="J25" i="43" s="1"/>
  <c r="J37" i="43" s="1"/>
  <c r="J49" i="43" s="1"/>
  <c r="J61" i="43" s="1"/>
  <c r="J73" i="43" s="1"/>
  <c r="J85" i="43" s="1"/>
  <c r="J97" i="43" s="1"/>
  <c r="J109" i="43" s="1"/>
  <c r="J121" i="43" s="1"/>
  <c r="I128" i="43"/>
  <c r="I140" i="43" s="1"/>
  <c r="K8" i="43"/>
  <c r="K20" i="43" s="1"/>
  <c r="K32" i="43" s="1"/>
  <c r="K44" i="43" s="1"/>
  <c r="K56" i="43" s="1"/>
  <c r="K68" i="43" s="1"/>
  <c r="K80" i="43" s="1"/>
  <c r="K92" i="43" s="1"/>
  <c r="K104" i="43" s="1"/>
  <c r="K116" i="43" s="1"/>
  <c r="I127" i="43"/>
  <c r="I139" i="43" s="1"/>
  <c r="K7" i="43"/>
  <c r="K19" i="43" s="1"/>
  <c r="K31" i="43" s="1"/>
  <c r="K43" i="43" s="1"/>
  <c r="K55" i="43" s="1"/>
  <c r="K67" i="43" s="1"/>
  <c r="K79" i="43" s="1"/>
  <c r="K91" i="43" s="1"/>
  <c r="K103" i="43" s="1"/>
  <c r="K115" i="43" s="1"/>
  <c r="I133" i="43"/>
  <c r="I145" i="43" s="1"/>
  <c r="K13" i="43"/>
  <c r="K25" i="43" s="1"/>
  <c r="K37" i="43" s="1"/>
  <c r="K49" i="43" s="1"/>
  <c r="K61" i="43" s="1"/>
  <c r="K73" i="43" s="1"/>
  <c r="K85" i="43" s="1"/>
  <c r="K97" i="43" s="1"/>
  <c r="K109" i="43" s="1"/>
  <c r="K121" i="43" s="1"/>
  <c r="I123" i="43"/>
  <c r="I135" i="43" s="1"/>
  <c r="K3" i="43"/>
  <c r="K15" i="43" s="1"/>
  <c r="K27" i="43" s="1"/>
  <c r="K39" i="43" s="1"/>
  <c r="K51" i="43" s="1"/>
  <c r="K63" i="43" s="1"/>
  <c r="K75" i="43" s="1"/>
  <c r="K87" i="43" s="1"/>
  <c r="K99" i="43" s="1"/>
  <c r="K111" i="43" s="1"/>
  <c r="AK52" i="34"/>
  <c r="DK52" i="34"/>
  <c r="DG53" i="34"/>
  <c r="DJ65" i="34" s="1"/>
  <c r="DG52" i="34"/>
  <c r="I126" i="39"/>
  <c r="I138" i="39" s="1"/>
  <c r="H129" i="39"/>
  <c r="H131" i="39"/>
  <c r="H124" i="39"/>
  <c r="H134" i="39"/>
  <c r="H127" i="39"/>
  <c r="I132" i="39"/>
  <c r="I144" i="39" s="1"/>
  <c r="H125" i="39"/>
  <c r="I131" i="39"/>
  <c r="I143" i="39" s="1"/>
  <c r="H132" i="39"/>
  <c r="H126" i="39"/>
  <c r="I125" i="39"/>
  <c r="I137" i="39" s="1"/>
  <c r="H128" i="39"/>
  <c r="I134" i="39"/>
  <c r="I146" i="39" s="1"/>
  <c r="I128" i="39"/>
  <c r="I140" i="39" s="1"/>
  <c r="I127" i="39"/>
  <c r="I139" i="39" s="1"/>
  <c r="I133" i="39"/>
  <c r="I145" i="39" s="1"/>
  <c r="H130" i="39"/>
  <c r="I130" i="39"/>
  <c r="I142" i="39" s="1"/>
  <c r="H133" i="39"/>
  <c r="I124" i="39"/>
  <c r="I136" i="39" s="1"/>
  <c r="I129" i="39"/>
  <c r="I141" i="39" s="1"/>
  <c r="J75" i="39"/>
  <c r="J40" i="39"/>
  <c r="AZ52" i="34"/>
  <c r="BI53" i="34"/>
  <c r="BF71" i="34" s="1"/>
  <c r="CS52" i="34"/>
  <c r="CP52" i="34"/>
  <c r="CQ52" i="34"/>
  <c r="CW53" i="34"/>
  <c r="CV69" i="34" s="1"/>
  <c r="CZ52" i="34"/>
  <c r="CX53" i="34"/>
  <c r="CV70" i="34" s="1"/>
  <c r="CT53" i="34"/>
  <c r="CV66" i="34" s="1"/>
  <c r="CW52" i="34"/>
  <c r="CX52" i="34"/>
  <c r="CU52" i="34"/>
  <c r="CH53" i="34"/>
  <c r="CH68" i="34" s="1"/>
  <c r="AS52" i="34"/>
  <c r="AA26" i="34"/>
  <c r="AC65" i="34" s="1"/>
  <c r="DM53" i="34"/>
  <c r="DJ71" i="34" s="1"/>
  <c r="AY53" i="34"/>
  <c r="BF61" i="34" s="1"/>
  <c r="CU53" i="34"/>
  <c r="CV67" i="34" s="1"/>
  <c r="CR53" i="34"/>
  <c r="CV64" i="34" s="1"/>
  <c r="CY52" i="34"/>
  <c r="CA53" i="34"/>
  <c r="CH61" i="34" s="1"/>
  <c r="DM52" i="34"/>
  <c r="DN52" i="34"/>
  <c r="CC53" i="34"/>
  <c r="CH63" i="34" s="1"/>
  <c r="DJ53" i="34"/>
  <c r="DJ68" i="34" s="1"/>
  <c r="DI52" i="34"/>
  <c r="DE52" i="34"/>
  <c r="CL52" i="34"/>
  <c r="DJ52" i="34"/>
  <c r="DC53" i="34"/>
  <c r="DJ61" i="34" s="1"/>
  <c r="DL53" i="34"/>
  <c r="DJ70" i="34" s="1"/>
  <c r="W26" i="34"/>
  <c r="AC61" i="34" s="1"/>
  <c r="CR52" i="34"/>
  <c r="CQ53" i="34"/>
  <c r="CV63" i="34" s="1"/>
  <c r="CT52" i="34"/>
  <c r="CZ53" i="34"/>
  <c r="CV72" i="34" s="1"/>
  <c r="CO53" i="34"/>
  <c r="CV61" i="34" s="1"/>
  <c r="CI52" i="34"/>
  <c r="BJ25" i="34"/>
  <c r="DC52" i="34"/>
  <c r="DD52" i="34"/>
  <c r="X26" i="34"/>
  <c r="AC62" i="34" s="1"/>
  <c r="AU91" i="35"/>
  <c r="AW33" i="35"/>
  <c r="AW57" i="35"/>
  <c r="AW53" i="35"/>
  <c r="AW30" i="35"/>
  <c r="AV42" i="35"/>
  <c r="AW34" i="35"/>
  <c r="AV46" i="35"/>
  <c r="AU77" i="35"/>
  <c r="AW65" i="35"/>
  <c r="AU107" i="35"/>
  <c r="AW95" i="35"/>
  <c r="AW73" i="35"/>
  <c r="AU85" i="35"/>
  <c r="AW28" i="35"/>
  <c r="AV40" i="35"/>
  <c r="AW32" i="35"/>
  <c r="AV44" i="35"/>
  <c r="AW36" i="35"/>
  <c r="AV48" i="35"/>
  <c r="AW69" i="35"/>
  <c r="AU81" i="35"/>
  <c r="AU99" i="35"/>
  <c r="AW87" i="35"/>
  <c r="AU103" i="35"/>
  <c r="AW91" i="35"/>
  <c r="AW38" i="35"/>
  <c r="AV50" i="35"/>
  <c r="AW25" i="34"/>
  <c r="AM61" i="34"/>
  <c r="AW55" i="34"/>
  <c r="AL61" i="34"/>
  <c r="AW28" i="34"/>
  <c r="AQ61" i="34"/>
  <c r="AW26" i="34"/>
  <c r="AR61" i="34"/>
  <c r="DK53" i="34"/>
  <c r="DJ69" i="34" s="1"/>
  <c r="DI53" i="34"/>
  <c r="DJ67" i="34" s="1"/>
  <c r="DF52" i="34"/>
  <c r="DH53" i="34"/>
  <c r="DJ66" i="34" s="1"/>
  <c r="DH52" i="34"/>
  <c r="DB8" i="34"/>
  <c r="DF53" i="34"/>
  <c r="DJ64" i="34" s="1"/>
  <c r="DL52" i="34"/>
  <c r="DE53" i="34"/>
  <c r="DJ63" i="34" s="1"/>
  <c r="DD53" i="34"/>
  <c r="DJ62" i="34" s="1"/>
  <c r="DN53" i="34"/>
  <c r="DJ72" i="34" s="1"/>
  <c r="BF52" i="34"/>
  <c r="CB52" i="34"/>
  <c r="CL53" i="34"/>
  <c r="CH72" i="34" s="1"/>
  <c r="CE53" i="34"/>
  <c r="CH65" i="34" s="1"/>
  <c r="CF53" i="34"/>
  <c r="CH66" i="34" s="1"/>
  <c r="AF26" i="34"/>
  <c r="AC70" i="34" s="1"/>
  <c r="BH52" i="34"/>
  <c r="BC26" i="34"/>
  <c r="BE65" i="34" s="1"/>
  <c r="BE25" i="34"/>
  <c r="BG52" i="34"/>
  <c r="BF63" i="34"/>
  <c r="BF53" i="34"/>
  <c r="BF68" i="34" s="1"/>
  <c r="AZ25" i="34"/>
  <c r="AY52" i="34"/>
  <c r="BE26" i="34"/>
  <c r="BE67" i="34" s="1"/>
  <c r="BG25" i="34"/>
  <c r="Z26" i="34"/>
  <c r="AC64" i="34" s="1"/>
  <c r="X25" i="34"/>
  <c r="BJ52" i="34"/>
  <c r="CE52" i="34"/>
  <c r="CF52" i="34"/>
  <c r="CC52" i="34"/>
  <c r="CD52" i="34"/>
  <c r="CJ53" i="34"/>
  <c r="CH70" i="34" s="1"/>
  <c r="AO52" i="34"/>
  <c r="AG25" i="34"/>
  <c r="Z25" i="34"/>
  <c r="AE25" i="34"/>
  <c r="AZ26" i="34"/>
  <c r="BE62" i="34" s="1"/>
  <c r="CB26" i="34"/>
  <c r="CG62" i="34" s="1"/>
  <c r="BH53" i="34"/>
  <c r="BF70" i="34" s="1"/>
  <c r="BB53" i="34"/>
  <c r="BF64" i="34" s="1"/>
  <c r="BC53" i="34"/>
  <c r="BF65" i="34" s="1"/>
  <c r="BD52" i="34"/>
  <c r="AY26" i="34"/>
  <c r="BE61" i="34" s="1"/>
  <c r="BA25" i="34"/>
  <c r="BC52" i="34"/>
  <c r="AZ53" i="34"/>
  <c r="BF62" i="34" s="1"/>
  <c r="BE53" i="34"/>
  <c r="BF67" i="34" s="1"/>
  <c r="BJ53" i="34"/>
  <c r="BF72" i="34" s="1"/>
  <c r="BJ26" i="34"/>
  <c r="BE72" i="34" s="1"/>
  <c r="BA26" i="34"/>
  <c r="BE63" i="34" s="1"/>
  <c r="BC25" i="34"/>
  <c r="CA52" i="34"/>
  <c r="CG53" i="34"/>
  <c r="CH67" i="34" s="1"/>
  <c r="CJ52" i="34"/>
  <c r="CK52" i="34"/>
  <c r="CH52" i="34"/>
  <c r="AC52" i="34"/>
  <c r="BB25" i="34"/>
  <c r="BG26" i="34"/>
  <c r="BE69" i="34" s="1"/>
  <c r="AD25" i="34"/>
  <c r="Y26" i="34"/>
  <c r="AC63" i="34" s="1"/>
  <c r="BE52" i="34"/>
  <c r="CB25" i="34"/>
  <c r="CE25" i="34"/>
  <c r="CK26" i="34"/>
  <c r="CG71" i="34" s="1"/>
  <c r="X52" i="34"/>
  <c r="AG52" i="34"/>
  <c r="Z52" i="34"/>
  <c r="AF52" i="34"/>
  <c r="Z53" i="34"/>
  <c r="AD64" i="34" s="1"/>
  <c r="AA53" i="34"/>
  <c r="AD65" i="34" s="1"/>
  <c r="AF53" i="34"/>
  <c r="AD70" i="34" s="1"/>
  <c r="CJ25" i="34"/>
  <c r="CF25" i="34"/>
  <c r="AB25" i="34"/>
  <c r="CA26" i="34"/>
  <c r="CG61" i="34" s="1"/>
  <c r="CD25" i="34"/>
  <c r="CF26" i="34"/>
  <c r="CG66" i="34" s="1"/>
  <c r="CI25" i="34"/>
  <c r="AH26" i="34"/>
  <c r="AC72" i="34" s="1"/>
  <c r="AG53" i="34"/>
  <c r="AD71" i="34" s="1"/>
  <c r="AE52" i="34"/>
  <c r="W53" i="34"/>
  <c r="AD61" i="34" s="1"/>
  <c r="AB53" i="34"/>
  <c r="AD66" i="34" s="1"/>
  <c r="CP53" i="34"/>
  <c r="CV62" i="34" s="1"/>
  <c r="CK53" i="34"/>
  <c r="CH71" i="34" s="1"/>
  <c r="CD53" i="34"/>
  <c r="CH64" i="34" s="1"/>
  <c r="CG52" i="34"/>
  <c r="CI53" i="34"/>
  <c r="CH69" i="34" s="1"/>
  <c r="CB53" i="34"/>
  <c r="CH62" i="34" s="1"/>
  <c r="Y53" i="34"/>
  <c r="AD63" i="34" s="1"/>
  <c r="AC53" i="34"/>
  <c r="AD67" i="34" s="1"/>
  <c r="AD52" i="34"/>
  <c r="W52" i="34"/>
  <c r="AD53" i="34"/>
  <c r="AD68" i="34" s="1"/>
  <c r="AE53" i="34"/>
  <c r="AD69" i="34" s="1"/>
  <c r="CL26" i="34"/>
  <c r="CG72" i="34" s="1"/>
  <c r="AP53" i="34"/>
  <c r="AR66" i="34" s="1"/>
  <c r="AC25" i="34"/>
  <c r="AE26" i="34"/>
  <c r="AC69" i="34" s="1"/>
  <c r="AH25" i="34"/>
  <c r="W25" i="34"/>
  <c r="AC26" i="34"/>
  <c r="AC67" i="34" s="1"/>
  <c r="CH26" i="34"/>
  <c r="CG68" i="34" s="1"/>
  <c r="AF25" i="34"/>
  <c r="CD26" i="34"/>
  <c r="CG64" i="34" s="1"/>
  <c r="CC25" i="34"/>
  <c r="CE26" i="34"/>
  <c r="CG65" i="34" s="1"/>
  <c r="CH25" i="34"/>
  <c r="CJ26" i="34"/>
  <c r="CG70" i="34" s="1"/>
  <c r="CC26" i="34"/>
  <c r="CG63" i="34" s="1"/>
  <c r="BL35" i="34"/>
  <c r="BL8" i="34"/>
  <c r="Y52" i="34"/>
  <c r="AB52" i="34"/>
  <c r="AH52" i="34"/>
  <c r="AA52" i="34"/>
  <c r="AH53" i="34"/>
  <c r="AD72" i="34" s="1"/>
  <c r="X53" i="34"/>
  <c r="AD62" i="34" s="1"/>
  <c r="AA25" i="34"/>
  <c r="AG26" i="34"/>
  <c r="AC71" i="34" s="1"/>
  <c r="BI52" i="34"/>
  <c r="BG53" i="34"/>
  <c r="BF69" i="34" s="1"/>
  <c r="AD26" i="34"/>
  <c r="AC68" i="34" s="1"/>
  <c r="CG25" i="34"/>
  <c r="CI26" i="34"/>
  <c r="CG69" i="34" s="1"/>
  <c r="CL25" i="34"/>
  <c r="CA25" i="34"/>
  <c r="CG26" i="34"/>
  <c r="CG67" i="34" s="1"/>
  <c r="R126" i="43" l="1"/>
  <c r="R124" i="43"/>
  <c r="P174" i="39"/>
  <c r="R132" i="43"/>
  <c r="P126" i="39"/>
  <c r="R130" i="43"/>
  <c r="R133" i="43"/>
  <c r="R128" i="43"/>
  <c r="R134" i="43"/>
  <c r="R125" i="43"/>
  <c r="R129" i="43"/>
  <c r="R127" i="43"/>
  <c r="R131" i="43"/>
  <c r="P134" i="39"/>
  <c r="P128" i="39"/>
  <c r="P131" i="39"/>
  <c r="P133" i="39"/>
  <c r="P130" i="39"/>
  <c r="P132" i="39"/>
  <c r="P125" i="39"/>
  <c r="P127" i="39"/>
  <c r="P124" i="39"/>
  <c r="P129" i="39"/>
  <c r="I177" i="39"/>
  <c r="P177" i="39" s="1"/>
  <c r="I180" i="39"/>
  <c r="P180" i="39" s="1"/>
  <c r="I172" i="39"/>
  <c r="P172" i="39" s="1"/>
  <c r="I176" i="39"/>
  <c r="P176" i="39" s="1"/>
  <c r="I169" i="39"/>
  <c r="I175" i="39"/>
  <c r="P175" i="39" s="1"/>
  <c r="I171" i="39"/>
  <c r="P171" i="39" s="1"/>
  <c r="H169" i="39"/>
  <c r="I170" i="39"/>
  <c r="P170" i="39" s="1"/>
  <c r="I178" i="39"/>
  <c r="P178" i="39" s="1"/>
  <c r="I173" i="39"/>
  <c r="P173" i="39" s="1"/>
  <c r="I179" i="39"/>
  <c r="P179" i="39" s="1"/>
  <c r="H144" i="39"/>
  <c r="P144" i="39" s="1"/>
  <c r="H146" i="39"/>
  <c r="P146" i="39" s="1"/>
  <c r="H145" i="39"/>
  <c r="P145" i="39" s="1"/>
  <c r="H143" i="39"/>
  <c r="P143" i="39" s="1"/>
  <c r="H142" i="39"/>
  <c r="P142" i="39" s="1"/>
  <c r="H141" i="39"/>
  <c r="P141" i="39" s="1"/>
  <c r="H140" i="39"/>
  <c r="P140" i="39" s="1"/>
  <c r="H139" i="39"/>
  <c r="P139" i="39" s="1"/>
  <c r="H138" i="39"/>
  <c r="P138" i="39" s="1"/>
  <c r="H137" i="39"/>
  <c r="P137" i="39" s="1"/>
  <c r="H136" i="39"/>
  <c r="P136" i="39" s="1"/>
  <c r="B5" i="44"/>
  <c r="D164" i="43"/>
  <c r="E4" i="11"/>
  <c r="B8" i="9"/>
  <c r="J4" i="11"/>
  <c r="B13" i="9"/>
  <c r="B4" i="11"/>
  <c r="B5" i="9"/>
  <c r="D164" i="39"/>
  <c r="B11" i="9"/>
  <c r="H4" i="11"/>
  <c r="B7" i="9"/>
  <c r="D4" i="11"/>
  <c r="I4" i="11"/>
  <c r="B12" i="9"/>
  <c r="B14" i="9"/>
  <c r="K4" i="11"/>
  <c r="B10" i="9"/>
  <c r="G4" i="11"/>
  <c r="B6" i="9"/>
  <c r="C4" i="11"/>
  <c r="F4" i="11"/>
  <c r="B9" i="9"/>
  <c r="K133" i="43"/>
  <c r="K145" i="43" s="1"/>
  <c r="K128" i="43"/>
  <c r="K140" i="43" s="1"/>
  <c r="K134" i="43"/>
  <c r="K146" i="43" s="1"/>
  <c r="K125" i="43"/>
  <c r="K137" i="43" s="1"/>
  <c r="J132" i="43"/>
  <c r="J144" i="43" s="1"/>
  <c r="K132" i="43"/>
  <c r="K144" i="43" s="1"/>
  <c r="J134" i="43"/>
  <c r="J146" i="43" s="1"/>
  <c r="J130" i="43"/>
  <c r="J142" i="43" s="1"/>
  <c r="J125" i="43"/>
  <c r="J137" i="43" s="1"/>
  <c r="K129" i="43"/>
  <c r="K141" i="43" s="1"/>
  <c r="J129" i="43"/>
  <c r="J141" i="43" s="1"/>
  <c r="K127" i="43"/>
  <c r="K139" i="43" s="1"/>
  <c r="J133" i="43"/>
  <c r="J145" i="43" s="1"/>
  <c r="J128" i="43"/>
  <c r="J140" i="43" s="1"/>
  <c r="J126" i="43"/>
  <c r="J138" i="43" s="1"/>
  <c r="K131" i="43"/>
  <c r="K143" i="43" s="1"/>
  <c r="J127" i="43"/>
  <c r="J139" i="43" s="1"/>
  <c r="J124" i="43"/>
  <c r="J136" i="43" s="1"/>
  <c r="J131" i="43"/>
  <c r="J143" i="43" s="1"/>
  <c r="K126" i="43"/>
  <c r="K138" i="43" s="1"/>
  <c r="K124" i="43"/>
  <c r="K136" i="43" s="1"/>
  <c r="K130" i="43"/>
  <c r="K142" i="43" s="1"/>
  <c r="K123" i="43"/>
  <c r="K135" i="43" s="1"/>
  <c r="H144" i="43"/>
  <c r="R144" i="43" s="1"/>
  <c r="H146" i="43"/>
  <c r="R146" i="43" s="1"/>
  <c r="H142" i="43"/>
  <c r="R142" i="43" s="1"/>
  <c r="H137" i="43"/>
  <c r="R137" i="43" s="1"/>
  <c r="H141" i="43"/>
  <c r="R141" i="43" s="1"/>
  <c r="H145" i="43"/>
  <c r="R145" i="43" s="1"/>
  <c r="H140" i="43"/>
  <c r="R140" i="43" s="1"/>
  <c r="H138" i="43"/>
  <c r="R138" i="43" s="1"/>
  <c r="H139" i="43"/>
  <c r="R139" i="43" s="1"/>
  <c r="H136" i="43"/>
  <c r="R136" i="43" s="1"/>
  <c r="H143" i="43"/>
  <c r="R143" i="43" s="1"/>
  <c r="J3" i="43"/>
  <c r="J15" i="43" s="1"/>
  <c r="J27" i="43" s="1"/>
  <c r="J39" i="43" s="1"/>
  <c r="J51" i="43" s="1"/>
  <c r="J63" i="43" s="1"/>
  <c r="J75" i="43" s="1"/>
  <c r="J87" i="43" s="1"/>
  <c r="J99" i="43" s="1"/>
  <c r="J111" i="43" s="1"/>
  <c r="J123" i="43" s="1"/>
  <c r="H123" i="43"/>
  <c r="R123" i="43" s="1"/>
  <c r="H123" i="39"/>
  <c r="P123" i="39" s="1"/>
  <c r="J123" i="39"/>
  <c r="J87" i="39"/>
  <c r="J135" i="39" s="1"/>
  <c r="J169" i="39" s="1"/>
  <c r="J52" i="39"/>
  <c r="AW52" i="34"/>
  <c r="AW103" i="35"/>
  <c r="AU115" i="35"/>
  <c r="AW115" i="35" s="1"/>
  <c r="AW46" i="35"/>
  <c r="AV58" i="35"/>
  <c r="AW99" i="35"/>
  <c r="AU111" i="35"/>
  <c r="AW111" i="35" s="1"/>
  <c r="AW42" i="35"/>
  <c r="AV54" i="35"/>
  <c r="AW48" i="35"/>
  <c r="AV60" i="35"/>
  <c r="AW40" i="35"/>
  <c r="AV52" i="35"/>
  <c r="AU119" i="35"/>
  <c r="AW119" i="35" s="1"/>
  <c r="AW107" i="35"/>
  <c r="AU93" i="35"/>
  <c r="AW81" i="35"/>
  <c r="AW44" i="35"/>
  <c r="AV56" i="35"/>
  <c r="AU97" i="35"/>
  <c r="AW85" i="35"/>
  <c r="AU89" i="35"/>
  <c r="AW77" i="35"/>
  <c r="AW50" i="35"/>
  <c r="AV62" i="35"/>
  <c r="AW53" i="34"/>
  <c r="DB9" i="34"/>
  <c r="BL9" i="34"/>
  <c r="BL36" i="34"/>
  <c r="BL37" i="34" s="1"/>
  <c r="BL38" i="34" s="1"/>
  <c r="BL39" i="34" s="1"/>
  <c r="BL40" i="34" s="1"/>
  <c r="BL41" i="34" s="1"/>
  <c r="BL42" i="34" s="1"/>
  <c r="BL43" i="34" s="1"/>
  <c r="BL44" i="34" s="1"/>
  <c r="BL45" i="34" s="1"/>
  <c r="BL46" i="34" s="1"/>
  <c r="BL47" i="34" s="1"/>
  <c r="BL48" i="34" s="1"/>
  <c r="BL49" i="34" s="1"/>
  <c r="BL50" i="34" s="1"/>
  <c r="BL51" i="34" s="1"/>
  <c r="BL52" i="34" s="1"/>
  <c r="BL53" i="34" s="1"/>
  <c r="P169" i="39" l="1"/>
  <c r="H135" i="39"/>
  <c r="P135" i="39" s="1"/>
  <c r="J135" i="43"/>
  <c r="H135" i="43"/>
  <c r="R135" i="43" s="1"/>
  <c r="J111" i="39"/>
  <c r="J99" i="39"/>
  <c r="J64" i="39"/>
  <c r="AW52" i="35"/>
  <c r="AV64" i="35"/>
  <c r="AW54" i="35"/>
  <c r="AV66" i="35"/>
  <c r="AW58" i="35"/>
  <c r="AV70" i="35"/>
  <c r="AU109" i="35"/>
  <c r="AW97" i="35"/>
  <c r="AU105" i="35"/>
  <c r="AW93" i="35"/>
  <c r="AW56" i="35"/>
  <c r="AV68" i="35"/>
  <c r="AW60" i="35"/>
  <c r="AV72" i="35"/>
  <c r="AU101" i="35"/>
  <c r="AW89" i="35"/>
  <c r="AW62" i="35"/>
  <c r="AV74" i="35"/>
  <c r="DB10" i="34"/>
  <c r="BN52" i="34"/>
  <c r="BR52" i="34"/>
  <c r="BO53" i="34"/>
  <c r="BT63" i="34" s="1"/>
  <c r="BU52" i="34"/>
  <c r="BR53" i="34"/>
  <c r="BT66" i="34" s="1"/>
  <c r="BV53" i="34"/>
  <c r="BT70" i="34" s="1"/>
  <c r="BT53" i="34"/>
  <c r="BT68" i="34" s="1"/>
  <c r="BO52" i="34"/>
  <c r="BP52" i="34"/>
  <c r="BM52" i="34"/>
  <c r="BS53" i="34"/>
  <c r="BT67" i="34" s="1"/>
  <c r="BW53" i="34"/>
  <c r="BT71" i="34" s="1"/>
  <c r="BL10" i="34"/>
  <c r="BX53" i="34"/>
  <c r="BT72" i="34" s="1"/>
  <c r="BV52" i="34"/>
  <c r="BN53" i="34"/>
  <c r="BT62" i="34" s="1"/>
  <c r="BX52" i="34"/>
  <c r="BU53" i="34"/>
  <c r="BT69" i="34" s="1"/>
  <c r="BT52" i="34"/>
  <c r="BP53" i="34"/>
  <c r="BT64" i="34" s="1"/>
  <c r="BQ53" i="34"/>
  <c r="BT65" i="34" s="1"/>
  <c r="BM53" i="34"/>
  <c r="BT61" i="34" s="1"/>
  <c r="BS52" i="34"/>
  <c r="BW52" i="34"/>
  <c r="BQ52" i="34"/>
  <c r="J76" i="39" l="1"/>
  <c r="J124" i="39" s="1"/>
  <c r="AW68" i="35"/>
  <c r="AV80" i="35"/>
  <c r="AW66" i="35"/>
  <c r="AV78" i="35"/>
  <c r="AW101" i="35"/>
  <c r="AU113" i="35"/>
  <c r="AW113" i="35" s="1"/>
  <c r="AW72" i="35"/>
  <c r="AV84" i="35"/>
  <c r="AW70" i="35"/>
  <c r="AV82" i="35"/>
  <c r="AW64" i="35"/>
  <c r="AV76" i="35"/>
  <c r="AW109" i="35"/>
  <c r="AU121" i="35"/>
  <c r="AW121" i="35" s="1"/>
  <c r="AU117" i="35"/>
  <c r="AW117" i="35" s="1"/>
  <c r="AW105" i="35"/>
  <c r="AW74" i="35"/>
  <c r="AV86" i="35"/>
  <c r="DB11" i="34"/>
  <c r="BL11" i="34"/>
  <c r="J88" i="39" l="1"/>
  <c r="J136" i="39" s="1"/>
  <c r="J170" i="39" s="1"/>
  <c r="AW76" i="35"/>
  <c r="AV88" i="35"/>
  <c r="AW84" i="35"/>
  <c r="AV96" i="35"/>
  <c r="AW82" i="35"/>
  <c r="AV94" i="35"/>
  <c r="AW80" i="35"/>
  <c r="AV92" i="35"/>
  <c r="AW78" i="35"/>
  <c r="AV90" i="35"/>
  <c r="AW86" i="35"/>
  <c r="AV98" i="35"/>
  <c r="DB12" i="34"/>
  <c r="BL12" i="34"/>
  <c r="J112" i="39" l="1"/>
  <c r="J100" i="39"/>
  <c r="AW92" i="35"/>
  <c r="AV104" i="35"/>
  <c r="AW96" i="35"/>
  <c r="AV108" i="35"/>
  <c r="AW90" i="35"/>
  <c r="AV102" i="35"/>
  <c r="AW94" i="35"/>
  <c r="AV106" i="35"/>
  <c r="AW88" i="35"/>
  <c r="AV100" i="35"/>
  <c r="AW98" i="35"/>
  <c r="AV110" i="35"/>
  <c r="AW110" i="35" s="1"/>
  <c r="DB13" i="34"/>
  <c r="BL13" i="34"/>
  <c r="AW108" i="35" l="1"/>
  <c r="AV120" i="35"/>
  <c r="AW120" i="35" s="1"/>
  <c r="AW100" i="35"/>
  <c r="AV112" i="35"/>
  <c r="AW112" i="35" s="1"/>
  <c r="AW102" i="35"/>
  <c r="AV114" i="35"/>
  <c r="AW114" i="35" s="1"/>
  <c r="AW104" i="35"/>
  <c r="AV116" i="35"/>
  <c r="AW116" i="35" s="1"/>
  <c r="AW106" i="35"/>
  <c r="AV118" i="35"/>
  <c r="AW118" i="35" s="1"/>
  <c r="DB14" i="34"/>
  <c r="BL14" i="34"/>
  <c r="DB15" i="34" l="1"/>
  <c r="BL15" i="34"/>
  <c r="BL16" i="34" s="1"/>
  <c r="BL17" i="34" s="1"/>
  <c r="BL18" i="34" s="1"/>
  <c r="BL19" i="34" s="1"/>
  <c r="BL20" i="34" s="1"/>
  <c r="BL21" i="34" s="1"/>
  <c r="BL22" i="34" s="1"/>
  <c r="BL23" i="34" s="1"/>
  <c r="BL24" i="34" s="1"/>
  <c r="K40" i="11"/>
  <c r="M14" i="9"/>
  <c r="K35" i="11" s="1"/>
  <c r="K14" i="9"/>
  <c r="K26" i="11" s="1"/>
  <c r="J14" i="9"/>
  <c r="K21" i="11" s="1"/>
  <c r="DB16" i="34" l="1"/>
  <c r="DB17" i="34" s="1"/>
  <c r="DB18" i="34" s="1"/>
  <c r="DB19" i="34" s="1"/>
  <c r="DB20" i="34" s="1"/>
  <c r="DB21" i="34" s="1"/>
  <c r="DB22" i="34" s="1"/>
  <c r="DB23" i="34" s="1"/>
  <c r="DB24" i="34" s="1"/>
  <c r="BL25" i="34"/>
  <c r="BT25" i="34"/>
  <c r="BX25" i="34"/>
  <c r="BS25" i="34"/>
  <c r="BV25" i="34"/>
  <c r="DB25" i="34" l="1"/>
  <c r="DN25" i="34" s="1"/>
  <c r="DL25" i="34"/>
  <c r="DE25" i="34"/>
  <c r="DC25" i="34"/>
  <c r="DG25" i="34"/>
  <c r="DD25" i="34"/>
  <c r="BL26" i="34"/>
  <c r="BQ25" i="34"/>
  <c r="BP25" i="34"/>
  <c r="BN25" i="34"/>
  <c r="BW25" i="34"/>
  <c r="BR25" i="34"/>
  <c r="BM25" i="34"/>
  <c r="BO25" i="34"/>
  <c r="BU25" i="34"/>
  <c r="DM25" i="34" l="1"/>
  <c r="DH25" i="34"/>
  <c r="DJ25" i="34"/>
  <c r="DK25" i="34"/>
  <c r="DI25" i="34"/>
  <c r="DB26" i="34"/>
  <c r="DF25" i="34"/>
  <c r="BT26" i="34"/>
  <c r="BS68" i="34" s="1"/>
  <c r="BN26" i="34"/>
  <c r="BS62" i="34" s="1"/>
  <c r="BQ26" i="34"/>
  <c r="BS65" i="34" s="1"/>
  <c r="BM26" i="34"/>
  <c r="BS61" i="34" s="1"/>
  <c r="BO26" i="34"/>
  <c r="BS63" i="34" s="1"/>
  <c r="BU26" i="34"/>
  <c r="BS69" i="34" s="1"/>
  <c r="BR26" i="34"/>
  <c r="BS66" i="34" s="1"/>
  <c r="BP26" i="34"/>
  <c r="BS64" i="34" s="1"/>
  <c r="BW26" i="34"/>
  <c r="BS71" i="34" s="1"/>
  <c r="BX26" i="34"/>
  <c r="BS72" i="34" s="1"/>
  <c r="BV26" i="34"/>
  <c r="BS70" i="34" s="1"/>
  <c r="BS26" i="34"/>
  <c r="BS67" i="34" s="1"/>
  <c r="DM26" i="34" l="1"/>
  <c r="DI71" i="34" s="1"/>
  <c r="DE26" i="34"/>
  <c r="DI63" i="34" s="1"/>
  <c r="DI26" i="34"/>
  <c r="DI67" i="34" s="1"/>
  <c r="DH26" i="34"/>
  <c r="DI66" i="34" s="1"/>
  <c r="DK26" i="34"/>
  <c r="DI69" i="34" s="1"/>
  <c r="DN26" i="34"/>
  <c r="DI72" i="34" s="1"/>
  <c r="DD26" i="34"/>
  <c r="DI62" i="34" s="1"/>
  <c r="DF26" i="34"/>
  <c r="DI64" i="34" s="1"/>
  <c r="DL26" i="34"/>
  <c r="DI70" i="34" s="1"/>
  <c r="DJ26" i="34"/>
  <c r="DI68" i="34" s="1"/>
  <c r="DG26" i="34"/>
  <c r="DI65" i="34" s="1"/>
  <c r="DC26" i="34"/>
  <c r="DI61" i="34" s="1"/>
  <c r="I6" i="9" l="1"/>
  <c r="C17" i="11" s="1"/>
  <c r="I7" i="9"/>
  <c r="D17" i="11" s="1"/>
  <c r="A24" i="9" l="1"/>
  <c r="A25" i="9"/>
  <c r="A26" i="9"/>
  <c r="A27" i="9"/>
  <c r="A28" i="9"/>
  <c r="A29" i="9"/>
  <c r="A30" i="9"/>
  <c r="A31" i="9"/>
  <c r="A32" i="9"/>
  <c r="A23" i="9"/>
  <c r="E17" i="18" l="1"/>
  <c r="E18" i="18"/>
  <c r="E19" i="18"/>
  <c r="E20" i="18"/>
  <c r="E21" i="18"/>
  <c r="E22" i="18"/>
  <c r="E23" i="18"/>
  <c r="E24" i="18"/>
  <c r="E25" i="18"/>
  <c r="D17" i="18"/>
  <c r="D18" i="18"/>
  <c r="D19" i="18"/>
  <c r="D20" i="18"/>
  <c r="D21" i="18"/>
  <c r="D22" i="18"/>
  <c r="D23" i="18"/>
  <c r="D24" i="18"/>
  <c r="D25" i="18"/>
  <c r="D26" i="18"/>
  <c r="C17" i="18"/>
  <c r="C18" i="18"/>
  <c r="C19" i="18"/>
  <c r="C20" i="18"/>
  <c r="C21" i="18"/>
  <c r="C22" i="18"/>
  <c r="C23" i="18"/>
  <c r="C24" i="18"/>
  <c r="B17" i="18"/>
  <c r="B18" i="18"/>
  <c r="B19" i="18"/>
  <c r="B20" i="18"/>
  <c r="B21" i="18"/>
  <c r="B22" i="18"/>
  <c r="B23" i="18"/>
  <c r="B24" i="18"/>
  <c r="B25" i="18"/>
  <c r="B26" i="18"/>
  <c r="A18" i="18"/>
  <c r="A19" i="18"/>
  <c r="A20" i="18"/>
  <c r="A21" i="18"/>
  <c r="A22" i="18"/>
  <c r="A23" i="18"/>
  <c r="A24" i="18"/>
  <c r="A25" i="18"/>
  <c r="A26" i="18"/>
  <c r="A17" i="18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3" i="18"/>
  <c r="J34" i="17"/>
  <c r="J35" i="17"/>
  <c r="J36" i="17"/>
  <c r="J37" i="17"/>
  <c r="J38" i="17"/>
  <c r="J39" i="17"/>
  <c r="J40" i="17"/>
  <c r="J41" i="17"/>
  <c r="J42" i="17"/>
  <c r="G8" i="9"/>
  <c r="G10" i="9"/>
  <c r="G11" i="9"/>
  <c r="G12" i="9"/>
  <c r="G13" i="9"/>
  <c r="G14" i="9"/>
  <c r="K50" i="11" l="1"/>
  <c r="K8" i="11"/>
  <c r="G50" i="11"/>
  <c r="G8" i="11"/>
  <c r="J50" i="11"/>
  <c r="J8" i="11"/>
  <c r="H50" i="11"/>
  <c r="H8" i="11"/>
  <c r="I8" i="11"/>
  <c r="I50" i="11"/>
  <c r="B33" i="18"/>
  <c r="D33" i="18"/>
  <c r="D28" i="18" s="1"/>
  <c r="B32" i="18"/>
  <c r="B28" i="18" s="1"/>
  <c r="B31" i="18"/>
  <c r="B30" i="18"/>
  <c r="D32" i="18"/>
  <c r="C33" i="18"/>
  <c r="C32" i="18"/>
  <c r="C31" i="18"/>
  <c r="E30" i="18"/>
  <c r="E31" i="18"/>
  <c r="F50" i="11"/>
  <c r="F8" i="11"/>
  <c r="E50" i="11"/>
  <c r="E8" i="11"/>
  <c r="D31" i="18"/>
  <c r="D30" i="18"/>
  <c r="B144" i="37" l="1"/>
  <c r="B138" i="37"/>
  <c r="B143" i="37"/>
  <c r="B148" i="37"/>
  <c r="B141" i="37"/>
  <c r="B139" i="37"/>
  <c r="B140" i="37"/>
  <c r="C140" i="37"/>
  <c r="B142" i="37"/>
  <c r="C142" i="37"/>
  <c r="B145" i="37"/>
  <c r="C145" i="37"/>
  <c r="B149" i="37"/>
  <c r="C149" i="37"/>
  <c r="B146" i="37"/>
  <c r="C146" i="37"/>
  <c r="B147" i="37"/>
  <c r="C147" i="37"/>
  <c r="B2" i="35"/>
  <c r="C2" i="35"/>
  <c r="A2" i="36"/>
  <c r="B2" i="36" s="1"/>
  <c r="C18" i="37"/>
  <c r="B18" i="37"/>
  <c r="B3" i="35"/>
  <c r="C3" i="35"/>
  <c r="A3" i="36"/>
  <c r="B3" i="36" s="1"/>
  <c r="B19" i="37"/>
  <c r="C19" i="37"/>
  <c r="B4" i="35"/>
  <c r="A4" i="36"/>
  <c r="B4" i="36" s="1"/>
  <c r="C4" i="35"/>
  <c r="B20" i="37"/>
  <c r="C20" i="37"/>
  <c r="A5" i="36"/>
  <c r="B5" i="36" s="1"/>
  <c r="C5" i="35"/>
  <c r="B5" i="35"/>
  <c r="B21" i="37"/>
  <c r="C21" i="37"/>
  <c r="A6" i="36"/>
  <c r="B6" i="36" s="1"/>
  <c r="C6" i="35"/>
  <c r="B6" i="35"/>
  <c r="B22" i="37"/>
  <c r="C22" i="37"/>
  <c r="A7" i="36"/>
  <c r="B7" i="36" s="1"/>
  <c r="B7" i="35"/>
  <c r="C7" i="35"/>
  <c r="B23" i="37"/>
  <c r="C23" i="37"/>
  <c r="A8" i="36"/>
  <c r="B8" i="36" s="1"/>
  <c r="C8" i="35"/>
  <c r="B8" i="35"/>
  <c r="B24" i="37"/>
  <c r="C24" i="37"/>
  <c r="B9" i="35"/>
  <c r="C9" i="35"/>
  <c r="A9" i="36"/>
  <c r="B9" i="36" s="1"/>
  <c r="B25" i="37"/>
  <c r="C25" i="37"/>
  <c r="B10" i="35"/>
  <c r="A10" i="36"/>
  <c r="B10" i="36" s="1"/>
  <c r="C10" i="35"/>
  <c r="B26" i="37"/>
  <c r="C26" i="37"/>
  <c r="B11" i="35"/>
  <c r="C11" i="35"/>
  <c r="A11" i="36"/>
  <c r="B11" i="36" s="1"/>
  <c r="B27" i="37"/>
  <c r="C27" i="37"/>
  <c r="C12" i="35"/>
  <c r="B12" i="35"/>
  <c r="A12" i="36"/>
  <c r="B12" i="36" s="1"/>
  <c r="B28" i="37"/>
  <c r="C28" i="37"/>
  <c r="A13" i="36"/>
  <c r="B13" i="36" s="1"/>
  <c r="C13" i="35"/>
  <c r="B13" i="35"/>
  <c r="B29" i="37"/>
  <c r="C29" i="37"/>
  <c r="C14" i="35"/>
  <c r="B14" i="35"/>
  <c r="A14" i="36"/>
  <c r="B14" i="36" s="1"/>
  <c r="B30" i="37"/>
  <c r="C30" i="37"/>
  <c r="B15" i="35"/>
  <c r="A15" i="36"/>
  <c r="B15" i="36" s="1"/>
  <c r="C15" i="35"/>
  <c r="B31" i="37"/>
  <c r="C31" i="37"/>
  <c r="A16" i="36"/>
  <c r="B16" i="36" s="1"/>
  <c r="C16" i="35"/>
  <c r="B16" i="35"/>
  <c r="B32" i="37"/>
  <c r="C32" i="37"/>
  <c r="B17" i="35"/>
  <c r="C17" i="35"/>
  <c r="A17" i="36"/>
  <c r="B17" i="36" s="1"/>
  <c r="B33" i="37"/>
  <c r="C33" i="37"/>
  <c r="C18" i="35"/>
  <c r="A18" i="36"/>
  <c r="B18" i="36" s="1"/>
  <c r="B18" i="35"/>
  <c r="B34" i="37"/>
  <c r="C34" i="37"/>
  <c r="B19" i="35"/>
  <c r="C19" i="35"/>
  <c r="A19" i="36"/>
  <c r="B19" i="36" s="1"/>
  <c r="B35" i="37"/>
  <c r="C35" i="37"/>
  <c r="A20" i="36"/>
  <c r="B20" i="36" s="1"/>
  <c r="B20" i="35"/>
  <c r="C20" i="35"/>
  <c r="B36" i="37"/>
  <c r="C36" i="37"/>
  <c r="C21" i="35"/>
  <c r="B21" i="35"/>
  <c r="A21" i="36"/>
  <c r="B21" i="36" s="1"/>
  <c r="B37" i="37"/>
  <c r="C37" i="37"/>
  <c r="C22" i="35"/>
  <c r="A22" i="36"/>
  <c r="B22" i="36" s="1"/>
  <c r="B22" i="35"/>
  <c r="B38" i="37"/>
  <c r="C38" i="37"/>
  <c r="B23" i="35"/>
  <c r="A23" i="36"/>
  <c r="B23" i="36" s="1"/>
  <c r="C23" i="35"/>
  <c r="B39" i="37"/>
  <c r="C39" i="37"/>
  <c r="C24" i="35"/>
  <c r="B24" i="35"/>
  <c r="A24" i="36"/>
  <c r="B24" i="36" s="1"/>
  <c r="B40" i="37"/>
  <c r="C40" i="37"/>
  <c r="B25" i="35"/>
  <c r="A25" i="36"/>
  <c r="B25" i="36" s="1"/>
  <c r="C25" i="35"/>
  <c r="B41" i="37"/>
  <c r="C41" i="37"/>
  <c r="B26" i="35"/>
  <c r="C26" i="35"/>
  <c r="A26" i="36"/>
  <c r="B26" i="36" s="1"/>
  <c r="B42" i="37"/>
  <c r="C42" i="37"/>
  <c r="B27" i="35"/>
  <c r="A27" i="36"/>
  <c r="B27" i="36" s="1"/>
  <c r="C27" i="35"/>
  <c r="B43" i="37"/>
  <c r="C43" i="37"/>
  <c r="B28" i="35"/>
  <c r="A28" i="36"/>
  <c r="B28" i="36" s="1"/>
  <c r="C28" i="35"/>
  <c r="B44" i="37"/>
  <c r="C44" i="37"/>
  <c r="B29" i="35"/>
  <c r="A29" i="36"/>
  <c r="B29" i="36" s="1"/>
  <c r="C29" i="35"/>
  <c r="B45" i="37"/>
  <c r="C45" i="37"/>
  <c r="B30" i="35"/>
  <c r="A30" i="36"/>
  <c r="B30" i="36" s="1"/>
  <c r="C30" i="35"/>
  <c r="B46" i="37"/>
  <c r="C46" i="37"/>
  <c r="A31" i="36"/>
  <c r="B31" i="36" s="1"/>
  <c r="B31" i="35"/>
  <c r="C31" i="35"/>
  <c r="B47" i="37"/>
  <c r="C47" i="37"/>
  <c r="A32" i="36"/>
  <c r="B32" i="36" s="1"/>
  <c r="C32" i="35"/>
  <c r="B32" i="35"/>
  <c r="B48" i="37"/>
  <c r="C48" i="37"/>
  <c r="B33" i="35"/>
  <c r="A33" i="36"/>
  <c r="B33" i="36" s="1"/>
  <c r="C33" i="35"/>
  <c r="B49" i="37"/>
  <c r="C49" i="37"/>
  <c r="C34" i="35"/>
  <c r="A34" i="36"/>
  <c r="B34" i="36" s="1"/>
  <c r="B34" i="35"/>
  <c r="B50" i="37"/>
  <c r="C50" i="37"/>
  <c r="B35" i="35"/>
  <c r="C35" i="35"/>
  <c r="A35" i="36"/>
  <c r="B35" i="36" s="1"/>
  <c r="B51" i="37"/>
  <c r="C51" i="37"/>
  <c r="B36" i="35"/>
  <c r="A36" i="36"/>
  <c r="B36" i="36" s="1"/>
  <c r="C36" i="35"/>
  <c r="B52" i="37"/>
  <c r="C52" i="37"/>
  <c r="B37" i="35"/>
  <c r="C37" i="35"/>
  <c r="A37" i="36"/>
  <c r="B37" i="36" s="1"/>
  <c r="B53" i="37"/>
  <c r="C53" i="37"/>
  <c r="A38" i="36"/>
  <c r="B38" i="36" s="1"/>
  <c r="B38" i="35"/>
  <c r="C38" i="35"/>
  <c r="B54" i="37"/>
  <c r="C54" i="37"/>
  <c r="A39" i="36"/>
  <c r="B39" i="36" s="1"/>
  <c r="B39" i="35"/>
  <c r="C39" i="35"/>
  <c r="B55" i="37"/>
  <c r="C55" i="37"/>
  <c r="B40" i="35"/>
  <c r="A40" i="36"/>
  <c r="B40" i="36" s="1"/>
  <c r="C40" i="35"/>
  <c r="B56" i="37"/>
  <c r="C56" i="37"/>
  <c r="B41" i="35"/>
  <c r="A41" i="36"/>
  <c r="B41" i="36" s="1"/>
  <c r="C41" i="35"/>
  <c r="B57" i="37"/>
  <c r="C57" i="37"/>
  <c r="C42" i="35"/>
  <c r="A42" i="36"/>
  <c r="B42" i="36" s="1"/>
  <c r="B42" i="35"/>
  <c r="B58" i="37"/>
  <c r="C58" i="37"/>
  <c r="B43" i="35"/>
  <c r="C43" i="35"/>
  <c r="A43" i="36"/>
  <c r="B43" i="36" s="1"/>
  <c r="B59" i="37"/>
  <c r="C59" i="37"/>
  <c r="B44" i="35"/>
  <c r="C44" i="35"/>
  <c r="A44" i="36"/>
  <c r="B44" i="36" s="1"/>
  <c r="B60" i="37"/>
  <c r="C60" i="37"/>
  <c r="A45" i="36"/>
  <c r="B45" i="36" s="1"/>
  <c r="B45" i="35"/>
  <c r="C45" i="35"/>
  <c r="B61" i="37"/>
  <c r="C61" i="37"/>
  <c r="C46" i="35"/>
  <c r="B46" i="35"/>
  <c r="A46" i="36"/>
  <c r="B46" i="36" s="1"/>
  <c r="B62" i="37"/>
  <c r="C62" i="37"/>
  <c r="B47" i="35"/>
  <c r="A47" i="36"/>
  <c r="B47" i="36" s="1"/>
  <c r="C47" i="35"/>
  <c r="B63" i="37"/>
  <c r="C63" i="37"/>
  <c r="A48" i="36"/>
  <c r="B48" i="36" s="1"/>
  <c r="B48" i="35"/>
  <c r="C48" i="35"/>
  <c r="B64" i="37"/>
  <c r="C64" i="37"/>
  <c r="B49" i="35"/>
  <c r="C49" i="35"/>
  <c r="A49" i="36"/>
  <c r="B49" i="36" s="1"/>
  <c r="B65" i="37"/>
  <c r="C65" i="37"/>
  <c r="C50" i="35"/>
  <c r="A50" i="36"/>
  <c r="B50" i="36" s="1"/>
  <c r="B50" i="35"/>
  <c r="B66" i="37"/>
  <c r="C66" i="37"/>
  <c r="B51" i="35"/>
  <c r="C51" i="35"/>
  <c r="A51" i="36"/>
  <c r="B51" i="36" s="1"/>
  <c r="B67" i="37"/>
  <c r="C67" i="37"/>
  <c r="A52" i="36"/>
  <c r="B52" i="36" s="1"/>
  <c r="C52" i="35"/>
  <c r="B52" i="35"/>
  <c r="B68" i="37"/>
  <c r="C68" i="37"/>
  <c r="A53" i="36"/>
  <c r="B53" i="36" s="1"/>
  <c r="B53" i="35"/>
  <c r="C53" i="35"/>
  <c r="B69" i="37"/>
  <c r="C69" i="37"/>
  <c r="A54" i="36"/>
  <c r="B54" i="36" s="1"/>
  <c r="C54" i="35"/>
  <c r="B54" i="35"/>
  <c r="B70" i="37"/>
  <c r="C70" i="37"/>
  <c r="B55" i="35"/>
  <c r="A55" i="36"/>
  <c r="B55" i="36" s="1"/>
  <c r="C55" i="35"/>
  <c r="B71" i="37"/>
  <c r="C71" i="37"/>
  <c r="B56" i="35"/>
  <c r="C56" i="35"/>
  <c r="A56" i="36"/>
  <c r="B56" i="36" s="1"/>
  <c r="B72" i="37"/>
  <c r="C72" i="37"/>
  <c r="B57" i="35"/>
  <c r="A57" i="36"/>
  <c r="B57" i="36" s="1"/>
  <c r="C57" i="35"/>
  <c r="B73" i="37"/>
  <c r="C73" i="37"/>
  <c r="C58" i="35"/>
  <c r="B58" i="35"/>
  <c r="A58" i="36"/>
  <c r="B58" i="36" s="1"/>
  <c r="B74" i="37"/>
  <c r="C74" i="37"/>
  <c r="B59" i="35"/>
  <c r="A59" i="36"/>
  <c r="B59" i="36" s="1"/>
  <c r="C59" i="35"/>
  <c r="B75" i="37"/>
  <c r="C75" i="37"/>
  <c r="B60" i="35"/>
  <c r="A60" i="36"/>
  <c r="B60" i="36" s="1"/>
  <c r="C60" i="35"/>
  <c r="B76" i="37"/>
  <c r="C76" i="37"/>
  <c r="B61" i="35"/>
  <c r="A61" i="36"/>
  <c r="B61" i="36" s="1"/>
  <c r="C61" i="35"/>
  <c r="B77" i="37"/>
  <c r="C77" i="37"/>
  <c r="C62" i="35"/>
  <c r="B62" i="35"/>
  <c r="A62" i="36"/>
  <c r="B62" i="36" s="1"/>
  <c r="B78" i="37"/>
  <c r="C78" i="37"/>
  <c r="A63" i="36"/>
  <c r="B63" i="36" s="1"/>
  <c r="B63" i="35"/>
  <c r="C63" i="35"/>
  <c r="B79" i="37"/>
  <c r="C79" i="37"/>
  <c r="A64" i="36"/>
  <c r="B64" i="36" s="1"/>
  <c r="B64" i="35"/>
  <c r="C64" i="35"/>
  <c r="B80" i="37"/>
  <c r="C80" i="37"/>
  <c r="B65" i="35"/>
  <c r="A65" i="36"/>
  <c r="B65" i="36" s="1"/>
  <c r="C65" i="35"/>
  <c r="B81" i="37"/>
  <c r="C81" i="37"/>
  <c r="C66" i="35"/>
  <c r="A66" i="36"/>
  <c r="B66" i="36" s="1"/>
  <c r="B66" i="35"/>
  <c r="B82" i="37"/>
  <c r="C82" i="37"/>
  <c r="B67" i="35"/>
  <c r="C67" i="35"/>
  <c r="A67" i="36"/>
  <c r="B67" i="36" s="1"/>
  <c r="B83" i="37"/>
  <c r="C83" i="37"/>
  <c r="C68" i="35"/>
  <c r="B68" i="35"/>
  <c r="A68" i="36"/>
  <c r="B68" i="36" s="1"/>
  <c r="B84" i="37"/>
  <c r="C84" i="37"/>
  <c r="C69" i="35"/>
  <c r="B69" i="35"/>
  <c r="A69" i="36"/>
  <c r="B69" i="36" s="1"/>
  <c r="B85" i="37"/>
  <c r="C85" i="37"/>
  <c r="A70" i="36"/>
  <c r="B70" i="36" s="1"/>
  <c r="C70" i="35"/>
  <c r="B70" i="35"/>
  <c r="B86" i="37"/>
  <c r="C86" i="37"/>
  <c r="A71" i="36"/>
  <c r="B71" i="36" s="1"/>
  <c r="B71" i="35"/>
  <c r="C71" i="35"/>
  <c r="B87" i="37"/>
  <c r="C87" i="37"/>
  <c r="B72" i="35"/>
  <c r="A72" i="36"/>
  <c r="B72" i="36" s="1"/>
  <c r="C72" i="35"/>
  <c r="B88" i="37"/>
  <c r="C88" i="37"/>
  <c r="B73" i="35"/>
  <c r="C73" i="35"/>
  <c r="A73" i="36"/>
  <c r="B73" i="36" s="1"/>
  <c r="B89" i="37"/>
  <c r="C89" i="37"/>
  <c r="C74" i="35"/>
  <c r="A74" i="36"/>
  <c r="B74" i="36" s="1"/>
  <c r="B74" i="35"/>
  <c r="B90" i="37"/>
  <c r="C90" i="37"/>
  <c r="B75" i="35"/>
  <c r="C75" i="35"/>
  <c r="A75" i="36"/>
  <c r="B75" i="36" s="1"/>
  <c r="B91" i="37"/>
  <c r="C91" i="37"/>
  <c r="B76" i="35"/>
  <c r="C76" i="35"/>
  <c r="A76" i="36"/>
  <c r="B76" i="36" s="1"/>
  <c r="B92" i="37"/>
  <c r="C92" i="37"/>
  <c r="B77" i="35"/>
  <c r="C77" i="35"/>
  <c r="A77" i="36"/>
  <c r="B77" i="36" s="1"/>
  <c r="B93" i="37"/>
  <c r="C93" i="37"/>
  <c r="C78" i="35"/>
  <c r="B78" i="35"/>
  <c r="A78" i="36"/>
  <c r="B78" i="36" s="1"/>
  <c r="B94" i="37"/>
  <c r="C94" i="37"/>
  <c r="A79" i="36"/>
  <c r="B79" i="36" s="1"/>
  <c r="B79" i="35"/>
  <c r="C79" i="35"/>
  <c r="B95" i="37"/>
  <c r="C95" i="37"/>
  <c r="A80" i="36"/>
  <c r="B80" i="36" s="1"/>
  <c r="C80" i="35"/>
  <c r="B80" i="35"/>
  <c r="B96" i="37"/>
  <c r="C96" i="37"/>
  <c r="B81" i="35"/>
  <c r="A81" i="36"/>
  <c r="B81" i="36" s="1"/>
  <c r="C81" i="35"/>
  <c r="B97" i="37"/>
  <c r="C97" i="37"/>
  <c r="C82" i="35"/>
  <c r="A82" i="36"/>
  <c r="B82" i="36" s="1"/>
  <c r="B82" i="35"/>
  <c r="B98" i="37"/>
  <c r="C98" i="37"/>
  <c r="B83" i="35"/>
  <c r="C83" i="35"/>
  <c r="A83" i="36"/>
  <c r="B83" i="36" s="1"/>
  <c r="B99" i="37"/>
  <c r="C99" i="37"/>
  <c r="A84" i="36"/>
  <c r="B84" i="36" s="1"/>
  <c r="C84" i="35"/>
  <c r="B84" i="35"/>
  <c r="B100" i="37"/>
  <c r="C100" i="37"/>
  <c r="A85" i="36"/>
  <c r="B85" i="36" s="1"/>
  <c r="B85" i="35"/>
  <c r="C85" i="35"/>
  <c r="B101" i="37"/>
  <c r="C101" i="37"/>
  <c r="A86" i="36"/>
  <c r="B86" i="36" s="1"/>
  <c r="C86" i="35"/>
  <c r="B86" i="35"/>
  <c r="B102" i="37"/>
  <c r="C102" i="37"/>
  <c r="A87" i="36"/>
  <c r="B87" i="36" s="1"/>
  <c r="B87" i="35"/>
  <c r="C87" i="35"/>
  <c r="B103" i="37"/>
  <c r="C103" i="37"/>
  <c r="C88" i="35"/>
  <c r="B88" i="35"/>
  <c r="A88" i="36"/>
  <c r="B88" i="36" s="1"/>
  <c r="B104" i="37"/>
  <c r="C104" i="37"/>
  <c r="B89" i="35"/>
  <c r="A89" i="36"/>
  <c r="B89" i="36" s="1"/>
  <c r="C89" i="35"/>
  <c r="B105" i="37"/>
  <c r="C105" i="37"/>
  <c r="C90" i="35"/>
  <c r="A90" i="36"/>
  <c r="B90" i="36" s="1"/>
  <c r="B90" i="35"/>
  <c r="B106" i="37"/>
  <c r="C106" i="37"/>
  <c r="B91" i="35"/>
  <c r="C91" i="35"/>
  <c r="A91" i="36"/>
  <c r="B91" i="36" s="1"/>
  <c r="B107" i="37"/>
  <c r="C107" i="37"/>
  <c r="B92" i="35"/>
  <c r="A92" i="36"/>
  <c r="B92" i="36" s="1"/>
  <c r="C92" i="35"/>
  <c r="B108" i="37"/>
  <c r="C108" i="37"/>
  <c r="B93" i="35"/>
  <c r="A93" i="36"/>
  <c r="B93" i="36" s="1"/>
  <c r="C93" i="35"/>
  <c r="B109" i="37"/>
  <c r="C109" i="37"/>
  <c r="C94" i="35"/>
  <c r="B94" i="35"/>
  <c r="A94" i="36"/>
  <c r="B94" i="36" s="1"/>
  <c r="B110" i="37"/>
  <c r="C110" i="37"/>
  <c r="A95" i="36"/>
  <c r="B95" i="36" s="1"/>
  <c r="B95" i="35"/>
  <c r="C95" i="35"/>
  <c r="B111" i="37"/>
  <c r="C111" i="37"/>
  <c r="A96" i="36"/>
  <c r="B96" i="36" s="1"/>
  <c r="B96" i="35"/>
  <c r="C96" i="35"/>
  <c r="B112" i="37"/>
  <c r="C112" i="37"/>
  <c r="B97" i="35"/>
  <c r="A97" i="36"/>
  <c r="B97" i="36" s="1"/>
  <c r="C97" i="35"/>
  <c r="B113" i="37"/>
  <c r="C113" i="37"/>
  <c r="C98" i="35"/>
  <c r="A98" i="36"/>
  <c r="B98" i="36" s="1"/>
  <c r="B98" i="35"/>
  <c r="B114" i="37"/>
  <c r="C114" i="37"/>
  <c r="B99" i="35"/>
  <c r="C99" i="35"/>
  <c r="A99" i="36"/>
  <c r="B99" i="36" s="1"/>
  <c r="B115" i="37"/>
  <c r="C115" i="37"/>
  <c r="B100" i="35"/>
  <c r="A100" i="36"/>
  <c r="B100" i="36" s="1"/>
  <c r="C100" i="35"/>
  <c r="B116" i="37"/>
  <c r="C116" i="37"/>
  <c r="C101" i="35"/>
  <c r="A101" i="36"/>
  <c r="B101" i="36" s="1"/>
  <c r="B101" i="35"/>
  <c r="B117" i="37"/>
  <c r="C117" i="37"/>
  <c r="A102" i="36"/>
  <c r="B102" i="36" s="1"/>
  <c r="C102" i="35"/>
  <c r="B102" i="35"/>
  <c r="B118" i="37"/>
  <c r="C118" i="37"/>
  <c r="A103" i="36"/>
  <c r="B103" i="36" s="1"/>
  <c r="B103" i="35"/>
  <c r="C103" i="35"/>
  <c r="B119" i="37"/>
  <c r="C119" i="37"/>
  <c r="A104" i="36"/>
  <c r="B104" i="36" s="1"/>
  <c r="B104" i="35"/>
  <c r="C104" i="35"/>
  <c r="B120" i="37"/>
  <c r="C120" i="37"/>
  <c r="B105" i="35"/>
  <c r="A105" i="36"/>
  <c r="B105" i="36" s="1"/>
  <c r="C105" i="35"/>
  <c r="B121" i="37"/>
  <c r="C121" i="37"/>
  <c r="C106" i="35"/>
  <c r="A106" i="36"/>
  <c r="B106" i="36" s="1"/>
  <c r="B106" i="35"/>
  <c r="B122" i="37"/>
  <c r="C122" i="37"/>
  <c r="B107" i="35"/>
  <c r="C107" i="35"/>
  <c r="A107" i="36"/>
  <c r="B107" i="36" s="1"/>
  <c r="B123" i="37"/>
  <c r="C123" i="37"/>
  <c r="B108" i="35"/>
  <c r="A108" i="36"/>
  <c r="B108" i="36" s="1"/>
  <c r="C108" i="35"/>
  <c r="B124" i="37"/>
  <c r="C124" i="37"/>
  <c r="A109" i="36"/>
  <c r="B109" i="36" s="1"/>
  <c r="B109" i="35"/>
  <c r="C109" i="35"/>
  <c r="B125" i="37"/>
  <c r="C125" i="37"/>
  <c r="B110" i="35"/>
  <c r="A110" i="36"/>
  <c r="C110" i="35"/>
  <c r="B126" i="37"/>
  <c r="C126" i="37"/>
  <c r="A111" i="36"/>
  <c r="B111" i="35"/>
  <c r="C111" i="35"/>
  <c r="B127" i="37"/>
  <c r="C127" i="37"/>
  <c r="A112" i="36"/>
  <c r="B112" i="35"/>
  <c r="C112" i="35"/>
  <c r="B128" i="37"/>
  <c r="C128" i="37"/>
  <c r="B113" i="35"/>
  <c r="C113" i="35"/>
  <c r="A113" i="36"/>
  <c r="B129" i="37"/>
  <c r="C129" i="37"/>
  <c r="B114" i="35"/>
  <c r="A114" i="36"/>
  <c r="C114" i="35"/>
  <c r="B130" i="37"/>
  <c r="C130" i="37"/>
  <c r="B115" i="35"/>
  <c r="C115" i="35"/>
  <c r="A115" i="36"/>
  <c r="B131" i="37"/>
  <c r="C131" i="37"/>
  <c r="A116" i="36"/>
  <c r="C116" i="35"/>
  <c r="B116" i="35"/>
  <c r="B132" i="37"/>
  <c r="C132" i="37"/>
  <c r="A117" i="36"/>
  <c r="C117" i="35"/>
  <c r="B117" i="35"/>
  <c r="B133" i="37"/>
  <c r="C133" i="37"/>
  <c r="A118" i="36"/>
  <c r="C118" i="35"/>
  <c r="B118" i="35"/>
  <c r="B134" i="37"/>
  <c r="C134" i="37"/>
  <c r="A119" i="36"/>
  <c r="B119" i="35"/>
  <c r="C119" i="35"/>
  <c r="B135" i="37"/>
  <c r="C135" i="37"/>
  <c r="B120" i="35"/>
  <c r="A120" i="36"/>
  <c r="C120" i="35"/>
  <c r="B136" i="37"/>
  <c r="C136" i="37"/>
  <c r="B121" i="35"/>
  <c r="C121" i="35"/>
  <c r="A121" i="36"/>
  <c r="B137" i="37"/>
  <c r="C137" i="37"/>
  <c r="B115" i="36" l="1"/>
  <c r="A127" i="36"/>
  <c r="C141" i="37"/>
  <c r="C148" i="37"/>
  <c r="B117" i="36"/>
  <c r="A129" i="36"/>
  <c r="B116" i="36"/>
  <c r="A128" i="36"/>
  <c r="B121" i="36"/>
  <c r="A133" i="36"/>
  <c r="B119" i="36"/>
  <c r="A131" i="36"/>
  <c r="B114" i="36"/>
  <c r="A126" i="36"/>
  <c r="B113" i="36"/>
  <c r="A125" i="36"/>
  <c r="B111" i="36"/>
  <c r="A123" i="36"/>
  <c r="B110" i="36"/>
  <c r="A122" i="36"/>
  <c r="C139" i="37"/>
  <c r="B120" i="36"/>
  <c r="A132" i="36"/>
  <c r="B112" i="36"/>
  <c r="A124" i="36"/>
  <c r="B118" i="36"/>
  <c r="A130" i="36"/>
  <c r="C143" i="37"/>
  <c r="C138" i="37"/>
  <c r="C144" i="37"/>
  <c r="B158" i="37"/>
  <c r="B154" i="37"/>
  <c r="B151" i="37"/>
  <c r="B153" i="37"/>
  <c r="B157" i="37"/>
  <c r="B156" i="37"/>
  <c r="B160" i="37"/>
  <c r="C161" i="37"/>
  <c r="B150" i="37"/>
  <c r="K121" i="35"/>
  <c r="B152" i="37"/>
  <c r="B159" i="37"/>
  <c r="C159" i="37"/>
  <c r="C160" i="37"/>
  <c r="C152" i="37"/>
  <c r="C158" i="37"/>
  <c r="B161" i="37"/>
  <c r="B155" i="37"/>
  <c r="C155" i="37"/>
  <c r="K109" i="35"/>
  <c r="K97" i="35"/>
  <c r="K85" i="35"/>
  <c r="K73" i="35"/>
  <c r="K61" i="35"/>
  <c r="K49" i="35"/>
  <c r="K37" i="35"/>
  <c r="K25" i="35"/>
  <c r="G4" i="37"/>
  <c r="G7" i="37"/>
  <c r="G13" i="37"/>
  <c r="G14" i="37"/>
  <c r="G8" i="37"/>
  <c r="G5" i="37"/>
  <c r="G10" i="37"/>
  <c r="G6" i="37"/>
  <c r="G11" i="37"/>
  <c r="G15" i="37"/>
  <c r="G12" i="37"/>
  <c r="G9" i="37"/>
  <c r="R1" i="34"/>
  <c r="G5" i="9"/>
  <c r="C153" i="37" l="1"/>
  <c r="C151" i="37"/>
  <c r="D151" i="37" s="1"/>
  <c r="C154" i="37"/>
  <c r="A142" i="36"/>
  <c r="B142" i="36" s="1"/>
  <c r="B130" i="36"/>
  <c r="B132" i="36"/>
  <c r="A144" i="36"/>
  <c r="B144" i="36" s="1"/>
  <c r="A135" i="36"/>
  <c r="B135" i="36" s="1"/>
  <c r="B123" i="36"/>
  <c r="B126" i="36"/>
  <c r="A138" i="36"/>
  <c r="B138" i="36" s="1"/>
  <c r="A145" i="36"/>
  <c r="B145" i="36" s="1"/>
  <c r="B133" i="36"/>
  <c r="A141" i="36"/>
  <c r="B141" i="36" s="1"/>
  <c r="B129" i="36"/>
  <c r="P123" i="36"/>
  <c r="A139" i="36"/>
  <c r="B139" i="36" s="1"/>
  <c r="B127" i="36"/>
  <c r="B122" i="36"/>
  <c r="O129" i="36" s="1"/>
  <c r="A134" i="36"/>
  <c r="B134" i="36" s="1"/>
  <c r="A137" i="36"/>
  <c r="B137" i="36" s="1"/>
  <c r="B125" i="36"/>
  <c r="A143" i="36"/>
  <c r="B143" i="36" s="1"/>
  <c r="B131" i="36"/>
  <c r="B128" i="36"/>
  <c r="A140" i="36"/>
  <c r="B140" i="36" s="1"/>
  <c r="N122" i="36"/>
  <c r="B124" i="36"/>
  <c r="N125" i="36" s="1"/>
  <c r="A136" i="36"/>
  <c r="B136" i="36" s="1"/>
  <c r="L130" i="36"/>
  <c r="Q130" i="36"/>
  <c r="N123" i="36"/>
  <c r="N137" i="36" s="1"/>
  <c r="P120" i="36"/>
  <c r="O124" i="36"/>
  <c r="Q121" i="36"/>
  <c r="P125" i="36"/>
  <c r="R122" i="36"/>
  <c r="M126" i="36"/>
  <c r="O123" i="36"/>
  <c r="K74" i="35"/>
  <c r="BG73" i="35"/>
  <c r="N74" i="39"/>
  <c r="P74" i="43"/>
  <c r="K38" i="35"/>
  <c r="BG37" i="35"/>
  <c r="N38" i="39"/>
  <c r="P38" i="43"/>
  <c r="K86" i="35"/>
  <c r="BG85" i="35"/>
  <c r="N86" i="39"/>
  <c r="P86" i="43"/>
  <c r="BG121" i="35"/>
  <c r="N122" i="39"/>
  <c r="P122" i="43"/>
  <c r="K50" i="35"/>
  <c r="BG49" i="35"/>
  <c r="N50" i="39"/>
  <c r="P50" i="43"/>
  <c r="K98" i="35"/>
  <c r="BG97" i="35"/>
  <c r="N98" i="39"/>
  <c r="P98" i="43"/>
  <c r="K26" i="35"/>
  <c r="BG25" i="35"/>
  <c r="N26" i="39"/>
  <c r="P26" i="43"/>
  <c r="K62" i="35"/>
  <c r="BG61" i="35"/>
  <c r="N62" i="39"/>
  <c r="P62" i="43"/>
  <c r="BG109" i="35"/>
  <c r="N110" i="39"/>
  <c r="P110" i="43"/>
  <c r="D160" i="37"/>
  <c r="C150" i="37"/>
  <c r="D150" i="37" s="1"/>
  <c r="C156" i="37"/>
  <c r="D156" i="37" s="1"/>
  <c r="C157" i="37"/>
  <c r="B50" i="11"/>
  <c r="B8" i="11"/>
  <c r="D88" i="37"/>
  <c r="D84" i="37"/>
  <c r="D80" i="37"/>
  <c r="D87" i="37"/>
  <c r="D86" i="37"/>
  <c r="D89" i="37"/>
  <c r="D83" i="37"/>
  <c r="D82" i="37"/>
  <c r="D85" i="37"/>
  <c r="D79" i="37"/>
  <c r="D78" i="37"/>
  <c r="D81" i="37"/>
  <c r="D48" i="37"/>
  <c r="D47" i="37"/>
  <c r="D42" i="37"/>
  <c r="D44" i="37"/>
  <c r="D43" i="37"/>
  <c r="D53" i="37"/>
  <c r="D50" i="37"/>
  <c r="D49" i="37"/>
  <c r="D52" i="37"/>
  <c r="D51" i="37"/>
  <c r="D46" i="37"/>
  <c r="D45" i="37"/>
  <c r="D139" i="37"/>
  <c r="D138" i="37"/>
  <c r="D148" i="37"/>
  <c r="D145" i="37"/>
  <c r="D146" i="37"/>
  <c r="D140" i="37"/>
  <c r="D147" i="37"/>
  <c r="D142" i="37"/>
  <c r="D149" i="37"/>
  <c r="D143" i="37"/>
  <c r="D144" i="37"/>
  <c r="D141" i="37"/>
  <c r="D122" i="37"/>
  <c r="D120" i="37"/>
  <c r="D119" i="37"/>
  <c r="D117" i="37"/>
  <c r="D116" i="37"/>
  <c r="D115" i="37"/>
  <c r="D118" i="37"/>
  <c r="D114" i="37"/>
  <c r="D125" i="37"/>
  <c r="D124" i="37"/>
  <c r="D123" i="37"/>
  <c r="D121" i="37"/>
  <c r="D101" i="37"/>
  <c r="D91" i="37"/>
  <c r="D90" i="37"/>
  <c r="D93" i="37"/>
  <c r="D100" i="37"/>
  <c r="D96" i="37"/>
  <c r="D99" i="37"/>
  <c r="D98" i="37"/>
  <c r="D92" i="37"/>
  <c r="D95" i="37"/>
  <c r="D94" i="37"/>
  <c r="D97" i="37"/>
  <c r="D128" i="37"/>
  <c r="D135" i="37"/>
  <c r="D126" i="37"/>
  <c r="D129" i="37"/>
  <c r="D136" i="37"/>
  <c r="D131" i="37"/>
  <c r="D132" i="37"/>
  <c r="D127" i="37"/>
  <c r="D134" i="37"/>
  <c r="D137" i="37"/>
  <c r="D130" i="37"/>
  <c r="D133" i="37"/>
  <c r="D31" i="37"/>
  <c r="D32" i="37"/>
  <c r="D41" i="37"/>
  <c r="D38" i="37"/>
  <c r="D37" i="37"/>
  <c r="D40" i="37"/>
  <c r="D39" i="37"/>
  <c r="D34" i="37"/>
  <c r="D33" i="37"/>
  <c r="D36" i="37"/>
  <c r="D35" i="37"/>
  <c r="D30" i="37"/>
  <c r="D64" i="37"/>
  <c r="D63" i="37"/>
  <c r="D58" i="37"/>
  <c r="D57" i="37"/>
  <c r="D60" i="37"/>
  <c r="D59" i="37"/>
  <c r="D54" i="37"/>
  <c r="D56" i="37"/>
  <c r="D55" i="37"/>
  <c r="D65" i="37"/>
  <c r="D62" i="37"/>
  <c r="D61" i="37"/>
  <c r="D113" i="37"/>
  <c r="D104" i="37"/>
  <c r="D107" i="37"/>
  <c r="D106" i="37"/>
  <c r="D103" i="37"/>
  <c r="D102" i="37"/>
  <c r="D109" i="37"/>
  <c r="D112" i="37"/>
  <c r="D105" i="37"/>
  <c r="D108" i="37"/>
  <c r="D111" i="37"/>
  <c r="D110" i="37"/>
  <c r="D73" i="37"/>
  <c r="D68" i="37"/>
  <c r="D75" i="37"/>
  <c r="D74" i="37"/>
  <c r="D77" i="37"/>
  <c r="D71" i="37"/>
  <c r="D70" i="37"/>
  <c r="D69" i="37"/>
  <c r="D76" i="37"/>
  <c r="D67" i="37"/>
  <c r="D66" i="37"/>
  <c r="D72" i="37"/>
  <c r="D27" i="37"/>
  <c r="D26" i="37"/>
  <c r="D25" i="37"/>
  <c r="D28" i="37"/>
  <c r="D23" i="37"/>
  <c r="D22" i="37"/>
  <c r="D21" i="37"/>
  <c r="D24" i="37"/>
  <c r="D19" i="37"/>
  <c r="D20" i="37"/>
  <c r="D29" i="37"/>
  <c r="D18" i="37"/>
  <c r="D161" i="37"/>
  <c r="D158" i="37"/>
  <c r="D157" i="37"/>
  <c r="D155" i="37"/>
  <c r="D153" i="37"/>
  <c r="D152" i="37"/>
  <c r="D154" i="37"/>
  <c r="D159" i="37"/>
  <c r="P137" i="36" l="1"/>
  <c r="O122" i="36"/>
  <c r="M129" i="36"/>
  <c r="Q122" i="36"/>
  <c r="Q136" i="36" s="1"/>
  <c r="R119" i="36"/>
  <c r="N124" i="36"/>
  <c r="N138" i="36" s="1"/>
  <c r="R121" i="36"/>
  <c r="L119" i="36"/>
  <c r="Q128" i="36"/>
  <c r="Q142" i="36" s="1"/>
  <c r="N128" i="36"/>
  <c r="M127" i="36"/>
  <c r="M141" i="36" s="1"/>
  <c r="R125" i="36"/>
  <c r="N130" i="36"/>
  <c r="N144" i="36" s="1"/>
  <c r="N150" i="36" s="1"/>
  <c r="L127" i="36"/>
  <c r="Q126" i="36"/>
  <c r="N126" i="36"/>
  <c r="N140" i="36" s="1"/>
  <c r="M125" i="36"/>
  <c r="M139" i="36" s="1"/>
  <c r="R123" i="36"/>
  <c r="R137" i="36" s="1"/>
  <c r="M130" i="36"/>
  <c r="M144" i="36" s="1"/>
  <c r="M150" i="36" s="1"/>
  <c r="P119" i="36"/>
  <c r="R127" i="36"/>
  <c r="R141" i="36" s="1"/>
  <c r="O127" i="36"/>
  <c r="R126" i="36"/>
  <c r="Q125" i="36"/>
  <c r="Q139" i="36" s="1"/>
  <c r="P124" i="36"/>
  <c r="P138" i="36" s="1"/>
  <c r="O130" i="36"/>
  <c r="O144" i="36" s="1"/>
  <c r="O150" i="36" s="1"/>
  <c r="M121" i="36"/>
  <c r="O138" i="36"/>
  <c r="L129" i="36"/>
  <c r="L143" i="36" s="1"/>
  <c r="L149" i="36" s="1"/>
  <c r="Q129" i="36"/>
  <c r="R130" i="36"/>
  <c r="M124" i="36"/>
  <c r="M138" i="36" s="1"/>
  <c r="N121" i="36"/>
  <c r="N136" i="36" s="1"/>
  <c r="Q124" i="36"/>
  <c r="M123" i="36"/>
  <c r="P129" i="36"/>
  <c r="R124" i="36"/>
  <c r="R138" i="36" s="1"/>
  <c r="F72" i="35"/>
  <c r="N120" i="36"/>
  <c r="M119" i="36"/>
  <c r="L124" i="36"/>
  <c r="P128" i="36"/>
  <c r="P142" i="36" s="1"/>
  <c r="L120" i="36"/>
  <c r="L134" i="36" s="1"/>
  <c r="L122" i="36"/>
  <c r="R128" i="36"/>
  <c r="Q127" i="36"/>
  <c r="Q141" i="36" s="1"/>
  <c r="P126" i="36"/>
  <c r="P140" i="36" s="1"/>
  <c r="R129" i="36"/>
  <c r="P127" i="36"/>
  <c r="O119" i="36"/>
  <c r="L126" i="36"/>
  <c r="L140" i="36" s="1"/>
  <c r="L123" i="36"/>
  <c r="L137" i="36" s="1"/>
  <c r="O128" i="36"/>
  <c r="O142" i="36" s="1"/>
  <c r="N127" i="36"/>
  <c r="N141" i="36" s="1"/>
  <c r="P130" i="36"/>
  <c r="P144" i="36" s="1"/>
  <c r="P150" i="36" s="1"/>
  <c r="M120" i="36"/>
  <c r="M134" i="36" s="1"/>
  <c r="O126" i="36"/>
  <c r="O125" i="36"/>
  <c r="O139" i="36" s="1"/>
  <c r="O137" i="36"/>
  <c r="R136" i="36"/>
  <c r="P134" i="36"/>
  <c r="O121" i="36"/>
  <c r="R120" i="36"/>
  <c r="Q119" i="36"/>
  <c r="L128" i="36"/>
  <c r="L142" i="36" s="1"/>
  <c r="L121" i="36"/>
  <c r="N129" i="36"/>
  <c r="N143" i="36" s="1"/>
  <c r="N149" i="36" s="1"/>
  <c r="Q123" i="36"/>
  <c r="Q137" i="36" s="1"/>
  <c r="M122" i="36"/>
  <c r="M136" i="36" s="1"/>
  <c r="P121" i="36"/>
  <c r="P135" i="36" s="1"/>
  <c r="O120" i="36"/>
  <c r="O134" i="36" s="1"/>
  <c r="N119" i="36"/>
  <c r="L125" i="36"/>
  <c r="L139" i="36" s="1"/>
  <c r="M128" i="36"/>
  <c r="M142" i="36" s="1"/>
  <c r="P122" i="36"/>
  <c r="P136" i="36" s="1"/>
  <c r="Q120" i="36"/>
  <c r="Q134" i="36" s="1"/>
  <c r="K63" i="35"/>
  <c r="BG62" i="35"/>
  <c r="N63" i="39"/>
  <c r="P63" i="43"/>
  <c r="K99" i="35"/>
  <c r="BG98" i="35"/>
  <c r="N99" i="39"/>
  <c r="P99" i="43"/>
  <c r="K51" i="35"/>
  <c r="BG50" i="35"/>
  <c r="N51" i="39"/>
  <c r="P51" i="43"/>
  <c r="K27" i="35"/>
  <c r="BG26" i="35"/>
  <c r="N27" i="39"/>
  <c r="P27" i="43"/>
  <c r="K87" i="35"/>
  <c r="BG86" i="35"/>
  <c r="N87" i="39"/>
  <c r="P87" i="43"/>
  <c r="K39" i="35"/>
  <c r="BG38" i="35"/>
  <c r="N39" i="39"/>
  <c r="P39" i="43"/>
  <c r="K75" i="35"/>
  <c r="BG74" i="35"/>
  <c r="N75" i="39"/>
  <c r="P75" i="43"/>
  <c r="F145" i="43"/>
  <c r="F145" i="39"/>
  <c r="F179" i="39" s="1"/>
  <c r="F123" i="43"/>
  <c r="F144" i="43"/>
  <c r="F138" i="43"/>
  <c r="F146" i="43"/>
  <c r="F134" i="43"/>
  <c r="F131" i="43"/>
  <c r="F124" i="43"/>
  <c r="F73" i="43"/>
  <c r="G73" i="43" s="1"/>
  <c r="R73" i="43" s="1"/>
  <c r="F136" i="43"/>
  <c r="F125" i="43"/>
  <c r="F139" i="43"/>
  <c r="F140" i="43"/>
  <c r="F141" i="43"/>
  <c r="F126" i="43"/>
  <c r="F127" i="43"/>
  <c r="F130" i="43"/>
  <c r="F143" i="43"/>
  <c r="F128" i="43"/>
  <c r="F137" i="43"/>
  <c r="F142" i="43"/>
  <c r="F135" i="43"/>
  <c r="F129" i="43"/>
  <c r="F132" i="43"/>
  <c r="F133" i="43"/>
  <c r="F142" i="39"/>
  <c r="F176" i="39" s="1"/>
  <c r="F136" i="39"/>
  <c r="F170" i="39" s="1"/>
  <c r="F143" i="39"/>
  <c r="F177" i="39" s="1"/>
  <c r="F128" i="39"/>
  <c r="F125" i="39"/>
  <c r="F123" i="39"/>
  <c r="F137" i="39"/>
  <c r="F171" i="39" s="1"/>
  <c r="F144" i="39"/>
  <c r="F178" i="39" s="1"/>
  <c r="F138" i="39"/>
  <c r="F172" i="39" s="1"/>
  <c r="F146" i="39"/>
  <c r="F180" i="39" s="1"/>
  <c r="F134" i="39"/>
  <c r="F131" i="39"/>
  <c r="F124" i="39"/>
  <c r="F73" i="39"/>
  <c r="G73" i="39" s="1"/>
  <c r="F139" i="39"/>
  <c r="F173" i="39" s="1"/>
  <c r="F140" i="39"/>
  <c r="F174" i="39" s="1"/>
  <c r="F141" i="39"/>
  <c r="F175" i="39" s="1"/>
  <c r="F126" i="39"/>
  <c r="F127" i="39"/>
  <c r="F130" i="39"/>
  <c r="F135" i="39"/>
  <c r="F129" i="39"/>
  <c r="F132" i="39"/>
  <c r="F133" i="39"/>
  <c r="F97" i="35"/>
  <c r="F2" i="35"/>
  <c r="F48" i="35"/>
  <c r="F15" i="35"/>
  <c r="F85" i="35"/>
  <c r="F112" i="35"/>
  <c r="F57" i="35"/>
  <c r="F106" i="35"/>
  <c r="H4" i="37"/>
  <c r="F8" i="35"/>
  <c r="F12" i="35"/>
  <c r="F56" i="35"/>
  <c r="F53" i="35"/>
  <c r="F58" i="35"/>
  <c r="F94" i="35"/>
  <c r="F96" i="35"/>
  <c r="F90" i="35"/>
  <c r="F45" i="35"/>
  <c r="F40" i="35"/>
  <c r="F41" i="35"/>
  <c r="F14" i="35"/>
  <c r="H5" i="37"/>
  <c r="F18" i="35"/>
  <c r="F22" i="35"/>
  <c r="F117" i="35"/>
  <c r="F111" i="35"/>
  <c r="F113" i="35"/>
  <c r="F81" i="35"/>
  <c r="F82" i="35"/>
  <c r="F77" i="35"/>
  <c r="F105" i="35"/>
  <c r="F98" i="35"/>
  <c r="H12" i="37"/>
  <c r="F101" i="35"/>
  <c r="F29" i="35"/>
  <c r="F33" i="35"/>
  <c r="F28" i="35"/>
  <c r="F65" i="35"/>
  <c r="F66" i="35"/>
  <c r="F71" i="35"/>
  <c r="F13" i="35"/>
  <c r="F5" i="35"/>
  <c r="F9" i="35"/>
  <c r="F50" i="35"/>
  <c r="H8" i="37"/>
  <c r="F54" i="35"/>
  <c r="F59" i="35"/>
  <c r="F95" i="35"/>
  <c r="F93" i="35"/>
  <c r="F91" i="35"/>
  <c r="F46" i="35"/>
  <c r="H7" i="37"/>
  <c r="F38" i="35"/>
  <c r="F42" i="35"/>
  <c r="F19" i="35"/>
  <c r="F23" i="35"/>
  <c r="F25" i="35"/>
  <c r="F114" i="35"/>
  <c r="F116" i="35"/>
  <c r="F110" i="35"/>
  <c r="H13" i="37"/>
  <c r="F78" i="35"/>
  <c r="F83" i="35"/>
  <c r="F74" i="35"/>
  <c r="H10" i="37"/>
  <c r="F107" i="35"/>
  <c r="F102" i="35"/>
  <c r="F103" i="35"/>
  <c r="F30" i="35"/>
  <c r="F34" i="35"/>
  <c r="H6" i="37"/>
  <c r="F26" i="35"/>
  <c r="H9" i="37"/>
  <c r="F62" i="35"/>
  <c r="F67" i="35"/>
  <c r="F64" i="35"/>
  <c r="F4" i="35"/>
  <c r="F6" i="35"/>
  <c r="F10" i="35"/>
  <c r="F51" i="35"/>
  <c r="F55" i="35"/>
  <c r="F52" i="35"/>
  <c r="F92" i="35"/>
  <c r="F86" i="35"/>
  <c r="H11" i="37"/>
  <c r="F88" i="35"/>
  <c r="F49" i="35"/>
  <c r="F43" i="35"/>
  <c r="F47" i="35"/>
  <c r="F20" i="35"/>
  <c r="F24" i="35"/>
  <c r="F16" i="35"/>
  <c r="F121" i="35"/>
  <c r="F115" i="35"/>
  <c r="F119" i="35"/>
  <c r="F79" i="35"/>
  <c r="F80" i="35"/>
  <c r="F75" i="35"/>
  <c r="F108" i="35"/>
  <c r="F99" i="35"/>
  <c r="F104" i="35"/>
  <c r="H14" i="37"/>
  <c r="F35" i="35"/>
  <c r="F37" i="35"/>
  <c r="F31" i="35"/>
  <c r="F63" i="35"/>
  <c r="F73" i="35"/>
  <c r="F68" i="35"/>
  <c r="H15" i="37"/>
  <c r="F3" i="35"/>
  <c r="F7" i="35"/>
  <c r="F11" i="35"/>
  <c r="F60" i="35"/>
  <c r="F61" i="35"/>
  <c r="F89" i="35"/>
  <c r="F87" i="35"/>
  <c r="F39" i="35"/>
  <c r="F44" i="35"/>
  <c r="F17" i="35"/>
  <c r="F21" i="35"/>
  <c r="F118" i="35"/>
  <c r="F120" i="35"/>
  <c r="F76" i="35"/>
  <c r="F84" i="35"/>
  <c r="F109" i="35"/>
  <c r="F100" i="35"/>
  <c r="F36" i="35"/>
  <c r="F27" i="35"/>
  <c r="F32" i="35"/>
  <c r="F69" i="35"/>
  <c r="F70" i="35"/>
  <c r="I72" i="35"/>
  <c r="T192" i="34" s="1"/>
  <c r="G72" i="35"/>
  <c r="S192" i="34" s="1"/>
  <c r="N134" i="36" l="1"/>
  <c r="R134" i="36"/>
  <c r="P143" i="36"/>
  <c r="P149" i="36" s="1"/>
  <c r="R139" i="36"/>
  <c r="L144" i="36"/>
  <c r="L150" i="36" s="1"/>
  <c r="L135" i="36"/>
  <c r="O135" i="36"/>
  <c r="O140" i="36"/>
  <c r="P141" i="36"/>
  <c r="R142" i="36"/>
  <c r="L138" i="36"/>
  <c r="M137" i="36"/>
  <c r="R144" i="36"/>
  <c r="R150" i="36" s="1"/>
  <c r="M135" i="36"/>
  <c r="R140" i="36"/>
  <c r="Q140" i="36"/>
  <c r="R135" i="36"/>
  <c r="M143" i="36"/>
  <c r="M149" i="36" s="1"/>
  <c r="M140" i="36"/>
  <c r="Q135" i="36"/>
  <c r="N135" i="36"/>
  <c r="R143" i="36"/>
  <c r="R149" i="36" s="1"/>
  <c r="L136" i="36"/>
  <c r="Q138" i="36"/>
  <c r="Q144" i="36"/>
  <c r="Q150" i="36" s="1"/>
  <c r="Q143" i="36"/>
  <c r="Q149" i="36" s="1"/>
  <c r="P139" i="36"/>
  <c r="O141" i="36"/>
  <c r="L141" i="36"/>
  <c r="N142" i="36"/>
  <c r="O136" i="36"/>
  <c r="N139" i="36"/>
  <c r="O143" i="36"/>
  <c r="O149" i="36" s="1"/>
  <c r="K76" i="35"/>
  <c r="BG75" i="35"/>
  <c r="P76" i="43"/>
  <c r="N76" i="39"/>
  <c r="K40" i="35"/>
  <c r="BG39" i="35"/>
  <c r="P40" i="43"/>
  <c r="N40" i="39"/>
  <c r="K88" i="35"/>
  <c r="BG87" i="35"/>
  <c r="P88" i="43"/>
  <c r="N88" i="39"/>
  <c r="K28" i="35"/>
  <c r="BG27" i="35"/>
  <c r="P28" i="43"/>
  <c r="N28" i="39"/>
  <c r="K52" i="35"/>
  <c r="BG51" i="35"/>
  <c r="P52" i="43"/>
  <c r="N52" i="39"/>
  <c r="K100" i="35"/>
  <c r="BG99" i="35"/>
  <c r="P100" i="43"/>
  <c r="N100" i="39"/>
  <c r="K64" i="35"/>
  <c r="BG63" i="35"/>
  <c r="P64" i="43"/>
  <c r="N64" i="39"/>
  <c r="F58" i="43"/>
  <c r="G58" i="43" s="1"/>
  <c r="R58" i="43" s="1"/>
  <c r="S58" i="43" s="1"/>
  <c r="F98" i="43"/>
  <c r="G98" i="43" s="1"/>
  <c r="R98" i="43" s="1"/>
  <c r="S98" i="43" s="1"/>
  <c r="F49" i="43"/>
  <c r="G49" i="43" s="1"/>
  <c r="R49" i="43" s="1"/>
  <c r="S49" i="43" s="1"/>
  <c r="F86" i="43"/>
  <c r="G86" i="43" s="1"/>
  <c r="R86" i="43" s="1"/>
  <c r="S86" i="43" s="1"/>
  <c r="I2" i="35"/>
  <c r="T122" i="34" s="1"/>
  <c r="F169" i="39"/>
  <c r="F181" i="39" s="1"/>
  <c r="F161" i="39"/>
  <c r="S73" i="43"/>
  <c r="F40" i="43"/>
  <c r="G40" i="43" s="1"/>
  <c r="R40" i="43" s="1"/>
  <c r="F69" i="43"/>
  <c r="G69" i="43" s="1"/>
  <c r="R69" i="43" s="1"/>
  <c r="F38" i="43"/>
  <c r="G38" i="43" s="1"/>
  <c r="R38" i="43" s="1"/>
  <c r="F76" i="43"/>
  <c r="G76" i="43" s="1"/>
  <c r="R76" i="43" s="1"/>
  <c r="F68" i="43"/>
  <c r="G68" i="43" s="1"/>
  <c r="R68" i="43" s="1"/>
  <c r="F35" i="43"/>
  <c r="G35" i="43" s="1"/>
  <c r="R35" i="43" s="1"/>
  <c r="F108" i="43"/>
  <c r="G108" i="43" s="1"/>
  <c r="R108" i="43" s="1"/>
  <c r="F39" i="43"/>
  <c r="F72" i="43"/>
  <c r="G72" i="43" s="1"/>
  <c r="R72" i="43" s="1"/>
  <c r="F41" i="43"/>
  <c r="G41" i="43" s="1"/>
  <c r="R41" i="43" s="1"/>
  <c r="F91" i="43"/>
  <c r="G91" i="43" s="1"/>
  <c r="R91" i="43" s="1"/>
  <c r="F54" i="43"/>
  <c r="G54" i="43" s="1"/>
  <c r="R54" i="43" s="1"/>
  <c r="F13" i="43"/>
  <c r="G13" i="43" s="1"/>
  <c r="R13" i="43" s="1"/>
  <c r="F113" i="43"/>
  <c r="G113" i="43" s="1"/>
  <c r="R113" i="43" s="1"/>
  <c r="F70" i="43"/>
  <c r="G70" i="43" s="1"/>
  <c r="R70" i="43" s="1"/>
  <c r="F28" i="43"/>
  <c r="G28" i="43" s="1"/>
  <c r="R28" i="43" s="1"/>
  <c r="F101" i="43"/>
  <c r="G101" i="43" s="1"/>
  <c r="R101" i="43" s="1"/>
  <c r="F85" i="43"/>
  <c r="G85" i="43" s="1"/>
  <c r="R85" i="43" s="1"/>
  <c r="F22" i="43"/>
  <c r="G22" i="43" s="1"/>
  <c r="R22" i="43" s="1"/>
  <c r="F45" i="43"/>
  <c r="G45" i="43" s="1"/>
  <c r="R45" i="43" s="1"/>
  <c r="F88" i="43"/>
  <c r="G88" i="43" s="1"/>
  <c r="R88" i="43" s="1"/>
  <c r="F62" i="43"/>
  <c r="G62" i="43" s="1"/>
  <c r="R62" i="43" s="1"/>
  <c r="F12" i="43"/>
  <c r="G12" i="43" s="1"/>
  <c r="R12" i="43" s="1"/>
  <c r="F4" i="43"/>
  <c r="G4" i="43" s="1"/>
  <c r="R4" i="43" s="1"/>
  <c r="F105" i="43"/>
  <c r="G105" i="43" s="1"/>
  <c r="R105" i="43" s="1"/>
  <c r="F109" i="43"/>
  <c r="G109" i="43" s="1"/>
  <c r="R109" i="43" s="1"/>
  <c r="F81" i="43"/>
  <c r="G81" i="43" s="1"/>
  <c r="R81" i="43" s="1"/>
  <c r="F120" i="43"/>
  <c r="G120" i="43" s="1"/>
  <c r="R120" i="43" s="1"/>
  <c r="F122" i="43"/>
  <c r="G122" i="43" s="1"/>
  <c r="R122" i="43" s="1"/>
  <c r="F25" i="43"/>
  <c r="G25" i="43" s="1"/>
  <c r="R25" i="43" s="1"/>
  <c r="F11" i="43"/>
  <c r="G11" i="43" s="1"/>
  <c r="R11" i="43" s="1"/>
  <c r="F27" i="43"/>
  <c r="F117" i="43"/>
  <c r="G117" i="43" s="1"/>
  <c r="R117" i="43" s="1"/>
  <c r="F26" i="43"/>
  <c r="G26" i="43" s="1"/>
  <c r="R26" i="43" s="1"/>
  <c r="F20" i="43"/>
  <c r="G20" i="43" s="1"/>
  <c r="R20" i="43" s="1"/>
  <c r="F92" i="43"/>
  <c r="G92" i="43" s="1"/>
  <c r="R92" i="43" s="1"/>
  <c r="F96" i="43"/>
  <c r="G96" i="43" s="1"/>
  <c r="R96" i="43" s="1"/>
  <c r="F51" i="43"/>
  <c r="F6" i="43"/>
  <c r="G6" i="43" s="1"/>
  <c r="R6" i="43" s="1"/>
  <c r="F66" i="43"/>
  <c r="G66" i="43" s="1"/>
  <c r="R66" i="43" s="1"/>
  <c r="F34" i="43"/>
  <c r="G34" i="43" s="1"/>
  <c r="R34" i="43" s="1"/>
  <c r="F102" i="43"/>
  <c r="G102" i="43" s="1"/>
  <c r="R102" i="43" s="1"/>
  <c r="F114" i="43"/>
  <c r="G114" i="43" s="1"/>
  <c r="R114" i="43" s="1"/>
  <c r="F118" i="43"/>
  <c r="G118" i="43" s="1"/>
  <c r="R118" i="43" s="1"/>
  <c r="F19" i="43"/>
  <c r="G19" i="43" s="1"/>
  <c r="R19" i="43" s="1"/>
  <c r="F15" i="43"/>
  <c r="F95" i="43"/>
  <c r="G95" i="43" s="1"/>
  <c r="R95" i="43" s="1"/>
  <c r="F107" i="43"/>
  <c r="G107" i="43" s="1"/>
  <c r="R107" i="43" s="1"/>
  <c r="F8" i="43"/>
  <c r="G8" i="43" s="1"/>
  <c r="R8" i="43" s="1"/>
  <c r="F64" i="43"/>
  <c r="G64" i="43" s="1"/>
  <c r="R64" i="43" s="1"/>
  <c r="F93" i="43"/>
  <c r="G93" i="43" s="1"/>
  <c r="R93" i="43" s="1"/>
  <c r="F104" i="43"/>
  <c r="G104" i="43" s="1"/>
  <c r="R104" i="43" s="1"/>
  <c r="F53" i="43"/>
  <c r="G53" i="43" s="1"/>
  <c r="R53" i="43" s="1"/>
  <c r="F52" i="43"/>
  <c r="G52" i="43" s="1"/>
  <c r="R52" i="43" s="1"/>
  <c r="F63" i="43"/>
  <c r="F31" i="43"/>
  <c r="G31" i="43" s="1"/>
  <c r="R31" i="43" s="1"/>
  <c r="F103" i="43"/>
  <c r="G103" i="43" s="1"/>
  <c r="R103" i="43" s="1"/>
  <c r="F84" i="43"/>
  <c r="G84" i="43" s="1"/>
  <c r="R84" i="43" s="1"/>
  <c r="F111" i="43"/>
  <c r="F115" i="43"/>
  <c r="G115" i="43" s="1"/>
  <c r="R115" i="43" s="1"/>
  <c r="F43" i="43"/>
  <c r="G43" i="43" s="1"/>
  <c r="R43" i="43" s="1"/>
  <c r="F55" i="43"/>
  <c r="G55" i="43" s="1"/>
  <c r="R55" i="43" s="1"/>
  <c r="F10" i="43"/>
  <c r="G10" i="43" s="1"/>
  <c r="R10" i="43" s="1"/>
  <c r="F67" i="43"/>
  <c r="G67" i="43" s="1"/>
  <c r="R67" i="43" s="1"/>
  <c r="F29" i="43"/>
  <c r="G29" i="43" s="1"/>
  <c r="R29" i="43" s="1"/>
  <c r="F106" i="43"/>
  <c r="G106" i="43" s="1"/>
  <c r="R106" i="43" s="1"/>
  <c r="F83" i="43"/>
  <c r="G83" i="43" s="1"/>
  <c r="R83" i="43" s="1"/>
  <c r="F46" i="43"/>
  <c r="G46" i="43" s="1"/>
  <c r="R46" i="43" s="1"/>
  <c r="F97" i="43"/>
  <c r="G97" i="43" s="1"/>
  <c r="R97" i="43" s="1"/>
  <c r="F59" i="43"/>
  <c r="G59" i="43" s="1"/>
  <c r="R59" i="43" s="1"/>
  <c r="F57" i="43"/>
  <c r="G57" i="43" s="1"/>
  <c r="R57" i="43" s="1"/>
  <c r="F3" i="43"/>
  <c r="F161" i="43"/>
  <c r="F160" i="43"/>
  <c r="F80" i="43"/>
  <c r="G80" i="43" s="1"/>
  <c r="R80" i="43" s="1"/>
  <c r="F56" i="43"/>
  <c r="G56" i="43" s="1"/>
  <c r="R56" i="43" s="1"/>
  <c r="F5" i="43"/>
  <c r="G5" i="43" s="1"/>
  <c r="R5" i="43" s="1"/>
  <c r="F121" i="43"/>
  <c r="G121" i="43" s="1"/>
  <c r="R121" i="43" s="1"/>
  <c r="F74" i="43"/>
  <c r="G74" i="43" s="1"/>
  <c r="R74" i="43" s="1"/>
  <c r="F32" i="43"/>
  <c r="G32" i="43" s="1"/>
  <c r="R32" i="43" s="1"/>
  <c r="F36" i="43"/>
  <c r="G36" i="43" s="1"/>
  <c r="R36" i="43" s="1"/>
  <c r="F48" i="43"/>
  <c r="G48" i="43" s="1"/>
  <c r="R48" i="43" s="1"/>
  <c r="F50" i="43"/>
  <c r="G50" i="43" s="1"/>
  <c r="R50" i="43" s="1"/>
  <c r="F71" i="43"/>
  <c r="G71" i="43" s="1"/>
  <c r="R71" i="43" s="1"/>
  <c r="F33" i="43"/>
  <c r="G33" i="43" s="1"/>
  <c r="R33" i="43" s="1"/>
  <c r="F37" i="43"/>
  <c r="G37" i="43" s="1"/>
  <c r="R37" i="43" s="1"/>
  <c r="F110" i="43"/>
  <c r="G110" i="43" s="1"/>
  <c r="R110" i="43" s="1"/>
  <c r="F77" i="43"/>
  <c r="G77" i="43" s="1"/>
  <c r="R77" i="43" s="1"/>
  <c r="F119" i="43"/>
  <c r="G119" i="43" s="1"/>
  <c r="R119" i="43" s="1"/>
  <c r="F18" i="43"/>
  <c r="G18" i="43" s="1"/>
  <c r="R18" i="43" s="1"/>
  <c r="F90" i="43"/>
  <c r="G90" i="43" s="1"/>
  <c r="R90" i="43" s="1"/>
  <c r="F61" i="43"/>
  <c r="G61" i="43" s="1"/>
  <c r="R61" i="43" s="1"/>
  <c r="F100" i="43"/>
  <c r="G100" i="43" s="1"/>
  <c r="R100" i="43" s="1"/>
  <c r="F116" i="43"/>
  <c r="G116" i="43" s="1"/>
  <c r="R116" i="43" s="1"/>
  <c r="F17" i="43"/>
  <c r="G17" i="43" s="1"/>
  <c r="R17" i="43" s="1"/>
  <c r="F21" i="43"/>
  <c r="G21" i="43" s="1"/>
  <c r="R21" i="43" s="1"/>
  <c r="F44" i="43"/>
  <c r="G44" i="43" s="1"/>
  <c r="R44" i="43" s="1"/>
  <c r="F89" i="43"/>
  <c r="G89" i="43" s="1"/>
  <c r="R89" i="43" s="1"/>
  <c r="F87" i="43"/>
  <c r="F7" i="43"/>
  <c r="G7" i="43" s="1"/>
  <c r="R7" i="43" s="1"/>
  <c r="F65" i="43"/>
  <c r="G65" i="43" s="1"/>
  <c r="R65" i="43" s="1"/>
  <c r="F75" i="43"/>
  <c r="F79" i="43"/>
  <c r="G79" i="43" s="1"/>
  <c r="R79" i="43" s="1"/>
  <c r="F24" i="43"/>
  <c r="G24" i="43" s="1"/>
  <c r="R24" i="43" s="1"/>
  <c r="F47" i="43"/>
  <c r="G47" i="43" s="1"/>
  <c r="R47" i="43" s="1"/>
  <c r="F94" i="43"/>
  <c r="G94" i="43" s="1"/>
  <c r="R94" i="43" s="1"/>
  <c r="F60" i="43"/>
  <c r="G60" i="43" s="1"/>
  <c r="R60" i="43" s="1"/>
  <c r="F14" i="43"/>
  <c r="G14" i="43" s="1"/>
  <c r="R14" i="43" s="1"/>
  <c r="F30" i="43"/>
  <c r="G30" i="43" s="1"/>
  <c r="R30" i="43" s="1"/>
  <c r="F99" i="43"/>
  <c r="F78" i="43"/>
  <c r="G78" i="43" s="1"/>
  <c r="R78" i="43" s="1"/>
  <c r="F82" i="43"/>
  <c r="G82" i="43" s="1"/>
  <c r="R82" i="43" s="1"/>
  <c r="F112" i="43"/>
  <c r="G112" i="43" s="1"/>
  <c r="R112" i="43" s="1"/>
  <c r="F23" i="43"/>
  <c r="G23" i="43" s="1"/>
  <c r="R23" i="43" s="1"/>
  <c r="F42" i="43"/>
  <c r="G42" i="43" s="1"/>
  <c r="R42" i="43" s="1"/>
  <c r="F9" i="43"/>
  <c r="G9" i="43" s="1"/>
  <c r="R9" i="43" s="1"/>
  <c r="F16" i="43"/>
  <c r="G16" i="43" s="1"/>
  <c r="R16" i="43" s="1"/>
  <c r="I48" i="35"/>
  <c r="T168" i="34" s="1"/>
  <c r="I85" i="35"/>
  <c r="T205" i="34" s="1"/>
  <c r="I57" i="35"/>
  <c r="T177" i="34" s="1"/>
  <c r="I97" i="35"/>
  <c r="T217" i="34" s="1"/>
  <c r="F160" i="39"/>
  <c r="G57" i="35"/>
  <c r="S177" i="34" s="1"/>
  <c r="F84" i="39"/>
  <c r="G84" i="39" s="1"/>
  <c r="F111" i="39"/>
  <c r="G111" i="39" s="1"/>
  <c r="F115" i="39"/>
  <c r="G115" i="39" s="1"/>
  <c r="F43" i="39"/>
  <c r="G43" i="39" s="1"/>
  <c r="F55" i="39"/>
  <c r="G55" i="39" s="1"/>
  <c r="F10" i="39"/>
  <c r="G10" i="39" s="1"/>
  <c r="F67" i="39"/>
  <c r="G67" i="39" s="1"/>
  <c r="F29" i="39"/>
  <c r="G29" i="39" s="1"/>
  <c r="F106" i="39"/>
  <c r="G106" i="39" s="1"/>
  <c r="F83" i="39"/>
  <c r="G83" i="39" s="1"/>
  <c r="F46" i="39"/>
  <c r="G46" i="39" s="1"/>
  <c r="F97" i="39"/>
  <c r="G97" i="39" s="1"/>
  <c r="F59" i="39"/>
  <c r="G59" i="39" s="1"/>
  <c r="F57" i="39"/>
  <c r="G57" i="39" s="1"/>
  <c r="F3" i="39"/>
  <c r="F53" i="39"/>
  <c r="G53" i="39" s="1"/>
  <c r="F52" i="39"/>
  <c r="G52" i="39" s="1"/>
  <c r="F63" i="39"/>
  <c r="G63" i="39" s="1"/>
  <c r="F103" i="39"/>
  <c r="G103" i="39" s="1"/>
  <c r="F71" i="39"/>
  <c r="G71" i="39" s="1"/>
  <c r="F33" i="39"/>
  <c r="G33" i="39" s="1"/>
  <c r="F37" i="39"/>
  <c r="G37" i="39" s="1"/>
  <c r="F110" i="39"/>
  <c r="G110" i="39" s="1"/>
  <c r="F77" i="39"/>
  <c r="G77" i="39" s="1"/>
  <c r="F119" i="39"/>
  <c r="G119" i="39" s="1"/>
  <c r="F18" i="39"/>
  <c r="G18" i="39" s="1"/>
  <c r="F90" i="39"/>
  <c r="G90" i="39" s="1"/>
  <c r="F61" i="39"/>
  <c r="G61" i="39" s="1"/>
  <c r="F14" i="39"/>
  <c r="G14" i="39" s="1"/>
  <c r="F30" i="39"/>
  <c r="G30" i="39" s="1"/>
  <c r="F99" i="39"/>
  <c r="G99" i="39" s="1"/>
  <c r="F78" i="39"/>
  <c r="G78" i="39" s="1"/>
  <c r="F82" i="39"/>
  <c r="G82" i="39" s="1"/>
  <c r="F112" i="39"/>
  <c r="G112" i="39" s="1"/>
  <c r="F23" i="39"/>
  <c r="G23" i="39" s="1"/>
  <c r="F42" i="39"/>
  <c r="G42" i="39" s="1"/>
  <c r="F9" i="39"/>
  <c r="G9" i="39" s="1"/>
  <c r="F58" i="39"/>
  <c r="G58" i="39" s="1"/>
  <c r="F16" i="39"/>
  <c r="G16" i="39" s="1"/>
  <c r="F98" i="39"/>
  <c r="G98" i="39" s="1"/>
  <c r="F121" i="39"/>
  <c r="G121" i="39" s="1"/>
  <c r="F74" i="39"/>
  <c r="G74" i="39" s="1"/>
  <c r="F32" i="39"/>
  <c r="G32" i="39" s="1"/>
  <c r="F36" i="39"/>
  <c r="G36" i="39" s="1"/>
  <c r="F48" i="39"/>
  <c r="G48" i="39" s="1"/>
  <c r="F50" i="39"/>
  <c r="G50" i="39" s="1"/>
  <c r="F100" i="39"/>
  <c r="G100" i="39" s="1"/>
  <c r="F116" i="39"/>
  <c r="G116" i="39" s="1"/>
  <c r="F17" i="39"/>
  <c r="G17" i="39" s="1"/>
  <c r="F21" i="39"/>
  <c r="G21" i="39" s="1"/>
  <c r="F44" i="39"/>
  <c r="G44" i="39" s="1"/>
  <c r="F89" i="39"/>
  <c r="G89" i="39" s="1"/>
  <c r="F87" i="39"/>
  <c r="G87" i="39" s="1"/>
  <c r="F7" i="39"/>
  <c r="G7" i="39" s="1"/>
  <c r="F65" i="39"/>
  <c r="G65" i="39" s="1"/>
  <c r="F79" i="39"/>
  <c r="G79" i="39" s="1"/>
  <c r="F94" i="39"/>
  <c r="G94" i="39" s="1"/>
  <c r="F76" i="39"/>
  <c r="G76" i="39" s="1"/>
  <c r="F80" i="39"/>
  <c r="G80" i="39" s="1"/>
  <c r="F93" i="39"/>
  <c r="G93" i="39" s="1"/>
  <c r="F56" i="39"/>
  <c r="G56" i="39" s="1"/>
  <c r="F5" i="39"/>
  <c r="G5" i="39" s="1"/>
  <c r="F68" i="39"/>
  <c r="G68" i="39" s="1"/>
  <c r="F35" i="39"/>
  <c r="G35" i="39" s="1"/>
  <c r="F104" i="39"/>
  <c r="G104" i="39" s="1"/>
  <c r="F108" i="39"/>
  <c r="G108" i="39" s="1"/>
  <c r="F39" i="39"/>
  <c r="F72" i="39"/>
  <c r="G72" i="39" s="1"/>
  <c r="F41" i="39"/>
  <c r="G41" i="39" s="1"/>
  <c r="F91" i="39"/>
  <c r="G91" i="39" s="1"/>
  <c r="F54" i="39"/>
  <c r="G54" i="39" s="1"/>
  <c r="F13" i="39"/>
  <c r="G13" i="39" s="1"/>
  <c r="F113" i="39"/>
  <c r="G113" i="39" s="1"/>
  <c r="F49" i="39"/>
  <c r="G49" i="39" s="1"/>
  <c r="F31" i="39"/>
  <c r="G31" i="39" s="1"/>
  <c r="F75" i="39"/>
  <c r="G75" i="39" s="1"/>
  <c r="F24" i="39"/>
  <c r="G24" i="39" s="1"/>
  <c r="F47" i="39"/>
  <c r="G47" i="39" s="1"/>
  <c r="F60" i="39"/>
  <c r="G60" i="39" s="1"/>
  <c r="F40" i="39"/>
  <c r="G40" i="39" s="1"/>
  <c r="F8" i="39"/>
  <c r="G8" i="39" s="1"/>
  <c r="F69" i="39"/>
  <c r="G69" i="39" s="1"/>
  <c r="F64" i="39"/>
  <c r="G64" i="39" s="1"/>
  <c r="F38" i="39"/>
  <c r="G38" i="39" s="1"/>
  <c r="F70" i="39"/>
  <c r="G70" i="39" s="1"/>
  <c r="F28" i="39"/>
  <c r="G28" i="39" s="1"/>
  <c r="F101" i="39"/>
  <c r="G101" i="39" s="1"/>
  <c r="F85" i="39"/>
  <c r="G85" i="39" s="1"/>
  <c r="F22" i="39"/>
  <c r="G22" i="39" s="1"/>
  <c r="F45" i="39"/>
  <c r="G45" i="39" s="1"/>
  <c r="F88" i="39"/>
  <c r="G88" i="39" s="1"/>
  <c r="F62" i="39"/>
  <c r="G62" i="39" s="1"/>
  <c r="F12" i="39"/>
  <c r="G12" i="39" s="1"/>
  <c r="F4" i="39"/>
  <c r="G4" i="39" s="1"/>
  <c r="F105" i="39"/>
  <c r="G105" i="39" s="1"/>
  <c r="F109" i="39"/>
  <c r="G109" i="39" s="1"/>
  <c r="F81" i="39"/>
  <c r="G81" i="39" s="1"/>
  <c r="F120" i="39"/>
  <c r="G120" i="39" s="1"/>
  <c r="F122" i="39"/>
  <c r="G122" i="39" s="1"/>
  <c r="F25" i="39"/>
  <c r="G25" i="39" s="1"/>
  <c r="F11" i="39"/>
  <c r="G11" i="39" s="1"/>
  <c r="F27" i="39"/>
  <c r="F117" i="39"/>
  <c r="G117" i="39" s="1"/>
  <c r="F26" i="39"/>
  <c r="G26" i="39" s="1"/>
  <c r="F20" i="39"/>
  <c r="G20" i="39" s="1"/>
  <c r="F92" i="39"/>
  <c r="G92" i="39" s="1"/>
  <c r="F96" i="39"/>
  <c r="G96" i="39" s="1"/>
  <c r="F51" i="39"/>
  <c r="F6" i="39"/>
  <c r="G6" i="39" s="1"/>
  <c r="F66" i="39"/>
  <c r="G66" i="39" s="1"/>
  <c r="F34" i="39"/>
  <c r="G34" i="39" s="1"/>
  <c r="F102" i="39"/>
  <c r="G102" i="39" s="1"/>
  <c r="F114" i="39"/>
  <c r="G114" i="39" s="1"/>
  <c r="F118" i="39"/>
  <c r="G118" i="39" s="1"/>
  <c r="F19" i="39"/>
  <c r="G19" i="39" s="1"/>
  <c r="F15" i="39"/>
  <c r="F95" i="39"/>
  <c r="G95" i="39" s="1"/>
  <c r="I106" i="35"/>
  <c r="T226" i="34" s="1"/>
  <c r="F86" i="39"/>
  <c r="G86" i="39" s="1"/>
  <c r="G2" i="35"/>
  <c r="S122" i="34" s="1"/>
  <c r="G15" i="35"/>
  <c r="S135" i="34" s="1"/>
  <c r="G97" i="35"/>
  <c r="S217" i="34" s="1"/>
  <c r="I15" i="35"/>
  <c r="T135" i="34" s="1"/>
  <c r="I112" i="35"/>
  <c r="T232" i="34" s="1"/>
  <c r="G48" i="35"/>
  <c r="S168" i="34" s="1"/>
  <c r="G85" i="35"/>
  <c r="S205" i="34" s="1"/>
  <c r="G112" i="35"/>
  <c r="S232" i="34" s="1"/>
  <c r="G106" i="35"/>
  <c r="S226" i="34" s="1"/>
  <c r="F107" i="39"/>
  <c r="G107" i="39" s="1"/>
  <c r="I76" i="35"/>
  <c r="T196" i="34" s="1"/>
  <c r="G76" i="35"/>
  <c r="S196" i="34" s="1"/>
  <c r="I21" i="35"/>
  <c r="T141" i="34" s="1"/>
  <c r="G21" i="35"/>
  <c r="S141" i="34" s="1"/>
  <c r="G11" i="35"/>
  <c r="S131" i="34" s="1"/>
  <c r="I11" i="35"/>
  <c r="T131" i="34" s="1"/>
  <c r="I7" i="35"/>
  <c r="T127" i="34" s="1"/>
  <c r="G7" i="35"/>
  <c r="S127" i="34" s="1"/>
  <c r="I121" i="35"/>
  <c r="T241" i="34" s="1"/>
  <c r="G121" i="35"/>
  <c r="S241" i="34" s="1"/>
  <c r="I9" i="35"/>
  <c r="T129" i="34" s="1"/>
  <c r="G9" i="35"/>
  <c r="S129" i="34" s="1"/>
  <c r="I71" i="35"/>
  <c r="T191" i="34" s="1"/>
  <c r="G71" i="35"/>
  <c r="S191" i="34" s="1"/>
  <c r="I65" i="35"/>
  <c r="T185" i="34" s="1"/>
  <c r="G65" i="35"/>
  <c r="S185" i="34" s="1"/>
  <c r="G81" i="35"/>
  <c r="S201" i="34" s="1"/>
  <c r="I81" i="35"/>
  <c r="T201" i="34" s="1"/>
  <c r="I41" i="35"/>
  <c r="T161" i="34" s="1"/>
  <c r="G41" i="35"/>
  <c r="S161" i="34" s="1"/>
  <c r="I58" i="35"/>
  <c r="T178" i="34" s="1"/>
  <c r="G58" i="35"/>
  <c r="S178" i="34" s="1"/>
  <c r="G70" i="35"/>
  <c r="S190" i="34" s="1"/>
  <c r="I70" i="35"/>
  <c r="T190" i="34" s="1"/>
  <c r="G69" i="35"/>
  <c r="S189" i="34" s="1"/>
  <c r="I69" i="35"/>
  <c r="T189" i="34" s="1"/>
  <c r="G36" i="35"/>
  <c r="S156" i="34" s="1"/>
  <c r="I36" i="35"/>
  <c r="T156" i="34" s="1"/>
  <c r="I84" i="35"/>
  <c r="T204" i="34" s="1"/>
  <c r="G84" i="35"/>
  <c r="S204" i="34" s="1"/>
  <c r="G118" i="35"/>
  <c r="S238" i="34" s="1"/>
  <c r="I118" i="35"/>
  <c r="T238" i="34" s="1"/>
  <c r="I87" i="35"/>
  <c r="T207" i="34" s="1"/>
  <c r="G87" i="35"/>
  <c r="S207" i="34" s="1"/>
  <c r="I60" i="35"/>
  <c r="T180" i="34" s="1"/>
  <c r="G60" i="35"/>
  <c r="S180" i="34" s="1"/>
  <c r="I10" i="35"/>
  <c r="T130" i="34" s="1"/>
  <c r="G10" i="35"/>
  <c r="S130" i="34" s="1"/>
  <c r="G67" i="35"/>
  <c r="S187" i="34" s="1"/>
  <c r="I67" i="35"/>
  <c r="T187" i="34" s="1"/>
  <c r="G116" i="35"/>
  <c r="S236" i="34" s="1"/>
  <c r="I116" i="35"/>
  <c r="T236" i="34" s="1"/>
  <c r="G19" i="35"/>
  <c r="S139" i="34" s="1"/>
  <c r="I19" i="35"/>
  <c r="T139" i="34" s="1"/>
  <c r="G38" i="35"/>
  <c r="S158" i="34" s="1"/>
  <c r="I38" i="35"/>
  <c r="T158" i="34" s="1"/>
  <c r="G46" i="35"/>
  <c r="S166" i="34" s="1"/>
  <c r="I46" i="35"/>
  <c r="T166" i="34" s="1"/>
  <c r="G91" i="35"/>
  <c r="S211" i="34" s="1"/>
  <c r="I91" i="35"/>
  <c r="T211" i="34" s="1"/>
  <c r="I28" i="35"/>
  <c r="T148" i="34" s="1"/>
  <c r="G28" i="35"/>
  <c r="S148" i="34" s="1"/>
  <c r="I29" i="35"/>
  <c r="T149" i="34" s="1"/>
  <c r="G29" i="35"/>
  <c r="S149" i="34" s="1"/>
  <c r="I98" i="35"/>
  <c r="T218" i="34" s="1"/>
  <c r="G98" i="35"/>
  <c r="S218" i="34" s="1"/>
  <c r="G105" i="35"/>
  <c r="S225" i="34" s="1"/>
  <c r="I105" i="35"/>
  <c r="T225" i="34" s="1"/>
  <c r="G14" i="35"/>
  <c r="S134" i="34" s="1"/>
  <c r="I14" i="35"/>
  <c r="T134" i="34" s="1"/>
  <c r="G40" i="35"/>
  <c r="S160" i="34" s="1"/>
  <c r="I40" i="35"/>
  <c r="T160" i="34" s="1"/>
  <c r="I12" i="35"/>
  <c r="T132" i="34" s="1"/>
  <c r="G12" i="35"/>
  <c r="S132" i="34" s="1"/>
  <c r="G120" i="35"/>
  <c r="S240" i="34" s="1"/>
  <c r="I120" i="35"/>
  <c r="T240" i="34" s="1"/>
  <c r="I26" i="35"/>
  <c r="T146" i="34" s="1"/>
  <c r="G26" i="35"/>
  <c r="S146" i="34" s="1"/>
  <c r="I34" i="35"/>
  <c r="T154" i="34" s="1"/>
  <c r="G34" i="35"/>
  <c r="S154" i="34" s="1"/>
  <c r="I103" i="35"/>
  <c r="T223" i="34" s="1"/>
  <c r="G103" i="35"/>
  <c r="S223" i="34" s="1"/>
  <c r="G102" i="35"/>
  <c r="S222" i="34" s="1"/>
  <c r="I102" i="35"/>
  <c r="T222" i="34" s="1"/>
  <c r="G78" i="35"/>
  <c r="S198" i="34" s="1"/>
  <c r="I78" i="35"/>
  <c r="T198" i="34" s="1"/>
  <c r="G110" i="35"/>
  <c r="S230" i="34" s="1"/>
  <c r="I110" i="35"/>
  <c r="T230" i="34" s="1"/>
  <c r="I5" i="35"/>
  <c r="T125" i="34" s="1"/>
  <c r="G5" i="35"/>
  <c r="S125" i="34" s="1"/>
  <c r="I113" i="35"/>
  <c r="T233" i="34" s="1"/>
  <c r="G113" i="35"/>
  <c r="S233" i="34" s="1"/>
  <c r="G22" i="35"/>
  <c r="S142" i="34" s="1"/>
  <c r="I22" i="35"/>
  <c r="T142" i="34" s="1"/>
  <c r="G45" i="35"/>
  <c r="S165" i="34" s="1"/>
  <c r="I45" i="35"/>
  <c r="T165" i="34" s="1"/>
  <c r="I63" i="35"/>
  <c r="T183" i="34" s="1"/>
  <c r="G63" i="35"/>
  <c r="S183" i="34" s="1"/>
  <c r="G35" i="35"/>
  <c r="S155" i="34" s="1"/>
  <c r="I35" i="35"/>
  <c r="T155" i="34" s="1"/>
  <c r="G80" i="35"/>
  <c r="S200" i="34" s="1"/>
  <c r="I80" i="35"/>
  <c r="T200" i="34" s="1"/>
  <c r="I79" i="35"/>
  <c r="T199" i="34" s="1"/>
  <c r="G79" i="35"/>
  <c r="S199" i="34" s="1"/>
  <c r="G115" i="35"/>
  <c r="S235" i="34" s="1"/>
  <c r="I115" i="35"/>
  <c r="T235" i="34" s="1"/>
  <c r="G88" i="35"/>
  <c r="S208" i="34" s="1"/>
  <c r="I88" i="35"/>
  <c r="T208" i="34" s="1"/>
  <c r="G27" i="35"/>
  <c r="S147" i="34" s="1"/>
  <c r="I27" i="35"/>
  <c r="T147" i="34" s="1"/>
  <c r="G100" i="35"/>
  <c r="S220" i="34" s="1"/>
  <c r="I100" i="35"/>
  <c r="T220" i="34" s="1"/>
  <c r="I109" i="35"/>
  <c r="T229" i="34" s="1"/>
  <c r="G109" i="35"/>
  <c r="S229" i="34" s="1"/>
  <c r="I44" i="35"/>
  <c r="T164" i="34" s="1"/>
  <c r="G44" i="35"/>
  <c r="S164" i="34" s="1"/>
  <c r="G3" i="35"/>
  <c r="S123" i="34" s="1"/>
  <c r="I3" i="35"/>
  <c r="T123" i="34" s="1"/>
  <c r="G73" i="35"/>
  <c r="S193" i="34" s="1"/>
  <c r="I73" i="35"/>
  <c r="T193" i="34" s="1"/>
  <c r="I37" i="35"/>
  <c r="T157" i="34" s="1"/>
  <c r="G37" i="35"/>
  <c r="S157" i="34" s="1"/>
  <c r="I108" i="35"/>
  <c r="T228" i="34" s="1"/>
  <c r="G108" i="35"/>
  <c r="S228" i="34" s="1"/>
  <c r="I119" i="35"/>
  <c r="T239" i="34" s="1"/>
  <c r="G119" i="35"/>
  <c r="S239" i="34" s="1"/>
  <c r="G20" i="35"/>
  <c r="S140" i="34" s="1"/>
  <c r="I20" i="35"/>
  <c r="T140" i="34" s="1"/>
  <c r="I47" i="35"/>
  <c r="T167" i="34" s="1"/>
  <c r="G47" i="35"/>
  <c r="S167" i="34" s="1"/>
  <c r="G51" i="35"/>
  <c r="S171" i="34" s="1"/>
  <c r="I51" i="35"/>
  <c r="T171" i="34" s="1"/>
  <c r="G4" i="35"/>
  <c r="S124" i="34" s="1"/>
  <c r="I4" i="35"/>
  <c r="T124" i="34" s="1"/>
  <c r="I74" i="35"/>
  <c r="T194" i="34" s="1"/>
  <c r="G74" i="35"/>
  <c r="S194" i="34" s="1"/>
  <c r="I114" i="35"/>
  <c r="T234" i="34" s="1"/>
  <c r="G114" i="35"/>
  <c r="S234" i="34" s="1"/>
  <c r="I23" i="35"/>
  <c r="T143" i="34" s="1"/>
  <c r="G23" i="35"/>
  <c r="S143" i="34" s="1"/>
  <c r="I42" i="35"/>
  <c r="T162" i="34" s="1"/>
  <c r="G42" i="35"/>
  <c r="S162" i="34" s="1"/>
  <c r="G59" i="35"/>
  <c r="S179" i="34" s="1"/>
  <c r="I59" i="35"/>
  <c r="T179" i="34" s="1"/>
  <c r="G54" i="35"/>
  <c r="S174" i="34" s="1"/>
  <c r="I54" i="35"/>
  <c r="T174" i="34" s="1"/>
  <c r="I50" i="35"/>
  <c r="T170" i="34" s="1"/>
  <c r="G50" i="35"/>
  <c r="S170" i="34" s="1"/>
  <c r="G13" i="35"/>
  <c r="S133" i="34" s="1"/>
  <c r="I13" i="35"/>
  <c r="T133" i="34" s="1"/>
  <c r="G33" i="35"/>
  <c r="S153" i="34" s="1"/>
  <c r="I33" i="35"/>
  <c r="T153" i="34" s="1"/>
  <c r="G101" i="35"/>
  <c r="S221" i="34" s="1"/>
  <c r="I101" i="35"/>
  <c r="T221" i="34" s="1"/>
  <c r="I77" i="35"/>
  <c r="T197" i="34" s="1"/>
  <c r="G77" i="35"/>
  <c r="S197" i="34" s="1"/>
  <c r="I82" i="35"/>
  <c r="T202" i="34" s="1"/>
  <c r="G82" i="35"/>
  <c r="S202" i="34" s="1"/>
  <c r="I111" i="35"/>
  <c r="T231" i="34" s="1"/>
  <c r="G111" i="35"/>
  <c r="S231" i="34" s="1"/>
  <c r="G117" i="35"/>
  <c r="S237" i="34" s="1"/>
  <c r="I117" i="35"/>
  <c r="T237" i="34" s="1"/>
  <c r="I96" i="35"/>
  <c r="T216" i="34" s="1"/>
  <c r="G96" i="35"/>
  <c r="S216" i="34" s="1"/>
  <c r="G56" i="35"/>
  <c r="S176" i="34" s="1"/>
  <c r="I56" i="35"/>
  <c r="T176" i="34" s="1"/>
  <c r="G8" i="35"/>
  <c r="S128" i="34" s="1"/>
  <c r="I8" i="35"/>
  <c r="T128" i="34" s="1"/>
  <c r="G104" i="35"/>
  <c r="S224" i="34" s="1"/>
  <c r="I104" i="35"/>
  <c r="T224" i="34" s="1"/>
  <c r="I16" i="35"/>
  <c r="T136" i="34" s="1"/>
  <c r="G16" i="35"/>
  <c r="S136" i="34" s="1"/>
  <c r="G49" i="35"/>
  <c r="S169" i="34" s="1"/>
  <c r="I49" i="35"/>
  <c r="T169" i="34" s="1"/>
  <c r="I92" i="35"/>
  <c r="T212" i="34" s="1"/>
  <c r="G92" i="35"/>
  <c r="S212" i="34" s="1"/>
  <c r="G6" i="35"/>
  <c r="S126" i="34" s="1"/>
  <c r="I6" i="35"/>
  <c r="T126" i="34" s="1"/>
  <c r="G32" i="35"/>
  <c r="S152" i="34" s="1"/>
  <c r="I32" i="35"/>
  <c r="T152" i="34" s="1"/>
  <c r="G17" i="35"/>
  <c r="S137" i="34" s="1"/>
  <c r="I17" i="35"/>
  <c r="T137" i="34" s="1"/>
  <c r="I39" i="35"/>
  <c r="T159" i="34" s="1"/>
  <c r="G39" i="35"/>
  <c r="S159" i="34" s="1"/>
  <c r="I89" i="35"/>
  <c r="T209" i="34" s="1"/>
  <c r="G89" i="35"/>
  <c r="S209" i="34" s="1"/>
  <c r="I61" i="35"/>
  <c r="T181" i="34" s="1"/>
  <c r="G61" i="35"/>
  <c r="S181" i="34" s="1"/>
  <c r="G68" i="35"/>
  <c r="S188" i="34" s="1"/>
  <c r="I68" i="35"/>
  <c r="T188" i="34" s="1"/>
  <c r="I31" i="35"/>
  <c r="T151" i="34" s="1"/>
  <c r="G31" i="35"/>
  <c r="S151" i="34" s="1"/>
  <c r="G99" i="35"/>
  <c r="S219" i="34" s="1"/>
  <c r="I99" i="35"/>
  <c r="T219" i="34" s="1"/>
  <c r="G75" i="35"/>
  <c r="S195" i="34" s="1"/>
  <c r="I75" i="35"/>
  <c r="T195" i="34" s="1"/>
  <c r="I24" i="35"/>
  <c r="T144" i="34" s="1"/>
  <c r="G24" i="35"/>
  <c r="S144" i="34" s="1"/>
  <c r="G43" i="35"/>
  <c r="S163" i="34" s="1"/>
  <c r="I43" i="35"/>
  <c r="T163" i="34" s="1"/>
  <c r="G86" i="35"/>
  <c r="S206" i="34" s="1"/>
  <c r="I86" i="35"/>
  <c r="T206" i="34" s="1"/>
  <c r="G52" i="35"/>
  <c r="S172" i="34" s="1"/>
  <c r="I52" i="35"/>
  <c r="T172" i="34" s="1"/>
  <c r="I55" i="35"/>
  <c r="T175" i="34" s="1"/>
  <c r="G55" i="35"/>
  <c r="S175" i="34" s="1"/>
  <c r="I64" i="35"/>
  <c r="T184" i="34" s="1"/>
  <c r="G64" i="35"/>
  <c r="S184" i="34" s="1"/>
  <c r="G62" i="35"/>
  <c r="S182" i="34" s="1"/>
  <c r="I62" i="35"/>
  <c r="T182" i="34" s="1"/>
  <c r="G30" i="35"/>
  <c r="S150" i="34" s="1"/>
  <c r="I30" i="35"/>
  <c r="T150" i="34" s="1"/>
  <c r="G107" i="35"/>
  <c r="S227" i="34" s="1"/>
  <c r="I107" i="35"/>
  <c r="T227" i="34" s="1"/>
  <c r="G83" i="35"/>
  <c r="S203" i="34" s="1"/>
  <c r="I83" i="35"/>
  <c r="T203" i="34" s="1"/>
  <c r="G25" i="35"/>
  <c r="S145" i="34" s="1"/>
  <c r="I25" i="35"/>
  <c r="T145" i="34" s="1"/>
  <c r="I93" i="35"/>
  <c r="T213" i="34" s="1"/>
  <c r="G93" i="35"/>
  <c r="S213" i="34" s="1"/>
  <c r="I95" i="35"/>
  <c r="T215" i="34" s="1"/>
  <c r="G95" i="35"/>
  <c r="S215" i="34" s="1"/>
  <c r="I66" i="35"/>
  <c r="T186" i="34" s="1"/>
  <c r="G66" i="35"/>
  <c r="S186" i="34" s="1"/>
  <c r="I18" i="35"/>
  <c r="T138" i="34" s="1"/>
  <c r="G18" i="35"/>
  <c r="S138" i="34" s="1"/>
  <c r="I90" i="35"/>
  <c r="T210" i="34" s="1"/>
  <c r="G90" i="35"/>
  <c r="S210" i="34" s="1"/>
  <c r="G94" i="35"/>
  <c r="S214" i="34" s="1"/>
  <c r="I94" i="35"/>
  <c r="T214" i="34" s="1"/>
  <c r="I53" i="35"/>
  <c r="T173" i="34" s="1"/>
  <c r="G53" i="35"/>
  <c r="S173" i="34" s="1"/>
  <c r="K65" i="35" l="1"/>
  <c r="BG64" i="35"/>
  <c r="P65" i="43"/>
  <c r="N65" i="39"/>
  <c r="K101" i="35"/>
  <c r="BG100" i="35"/>
  <c r="P101" i="43"/>
  <c r="N101" i="39"/>
  <c r="K53" i="35"/>
  <c r="BG52" i="35"/>
  <c r="P53" i="43"/>
  <c r="N53" i="39"/>
  <c r="K29" i="35"/>
  <c r="BG28" i="35"/>
  <c r="P29" i="43"/>
  <c r="N29" i="39"/>
  <c r="K89" i="35"/>
  <c r="BG88" i="35"/>
  <c r="P89" i="43"/>
  <c r="N89" i="39"/>
  <c r="K41" i="35"/>
  <c r="BG40" i="35"/>
  <c r="N41" i="39"/>
  <c r="P41" i="43"/>
  <c r="K77" i="35"/>
  <c r="BG76" i="35"/>
  <c r="P77" i="43"/>
  <c r="N77" i="39"/>
  <c r="F159" i="43"/>
  <c r="T98" i="43"/>
  <c r="AD85" i="43"/>
  <c r="T58" i="43"/>
  <c r="AA81" i="43"/>
  <c r="T73" i="43"/>
  <c r="AB84" i="43"/>
  <c r="T49" i="43"/>
  <c r="Z84" i="43"/>
  <c r="T86" i="43"/>
  <c r="AC85" i="43"/>
  <c r="S16" i="43"/>
  <c r="S94" i="43"/>
  <c r="T94" i="43" s="1"/>
  <c r="S24" i="43"/>
  <c r="T24" i="43" s="1"/>
  <c r="S89" i="43"/>
  <c r="T89" i="43" s="1"/>
  <c r="S116" i="43"/>
  <c r="T116" i="43" s="1"/>
  <c r="S61" i="43"/>
  <c r="T61" i="43" s="1"/>
  <c r="S77" i="43"/>
  <c r="T77" i="43" s="1"/>
  <c r="S37" i="43"/>
  <c r="T37" i="43" s="1"/>
  <c r="S71" i="43"/>
  <c r="T71" i="43" s="1"/>
  <c r="S48" i="43"/>
  <c r="T48" i="43" s="1"/>
  <c r="S32" i="43"/>
  <c r="T32" i="43" s="1"/>
  <c r="S121" i="43"/>
  <c r="T121" i="43" s="1"/>
  <c r="S56" i="43"/>
  <c r="T56" i="43" s="1"/>
  <c r="S102" i="43"/>
  <c r="S66" i="43"/>
  <c r="S92" i="43"/>
  <c r="X60" i="43"/>
  <c r="S25" i="43"/>
  <c r="S120" i="43"/>
  <c r="S109" i="43"/>
  <c r="S62" i="43"/>
  <c r="S45" i="43"/>
  <c r="S85" i="43"/>
  <c r="S113" i="43"/>
  <c r="S54" i="43"/>
  <c r="S41" i="43"/>
  <c r="S35" i="43"/>
  <c r="S76" i="43"/>
  <c r="S69" i="43"/>
  <c r="S57" i="43"/>
  <c r="S97" i="43"/>
  <c r="S83" i="43"/>
  <c r="S29" i="43"/>
  <c r="S43" i="43"/>
  <c r="S93" i="43"/>
  <c r="S42" i="43"/>
  <c r="T42" i="43" s="1"/>
  <c r="S112" i="43"/>
  <c r="T112" i="43" s="1"/>
  <c r="S78" i="43"/>
  <c r="T78" i="43" s="1"/>
  <c r="S30" i="43"/>
  <c r="T30" i="43" s="1"/>
  <c r="S60" i="43"/>
  <c r="T60" i="43" s="1"/>
  <c r="S47" i="43"/>
  <c r="Z82" i="43" s="1"/>
  <c r="S79" i="43"/>
  <c r="T79" i="43" s="1"/>
  <c r="S65" i="43"/>
  <c r="T65" i="43" s="1"/>
  <c r="S44" i="43"/>
  <c r="T44" i="43" s="1"/>
  <c r="S17" i="43"/>
  <c r="T17" i="43" s="1"/>
  <c r="S100" i="43"/>
  <c r="T100" i="43" s="1"/>
  <c r="S90" i="43"/>
  <c r="T90" i="43" s="1"/>
  <c r="S119" i="43"/>
  <c r="T119" i="43" s="1"/>
  <c r="S110" i="43"/>
  <c r="T110" i="43" s="1"/>
  <c r="S33" i="43"/>
  <c r="T33" i="43" s="1"/>
  <c r="S50" i="43"/>
  <c r="T50" i="43" s="1"/>
  <c r="S36" i="43"/>
  <c r="T36" i="43" s="1"/>
  <c r="S74" i="43"/>
  <c r="T74" i="43" s="1"/>
  <c r="X51" i="43"/>
  <c r="S80" i="43"/>
  <c r="S59" i="43"/>
  <c r="S46" i="43"/>
  <c r="S106" i="43"/>
  <c r="S67" i="43"/>
  <c r="S55" i="43"/>
  <c r="S115" i="43"/>
  <c r="S84" i="43"/>
  <c r="S31" i="43"/>
  <c r="S52" i="43"/>
  <c r="S104" i="43"/>
  <c r="S64" i="43"/>
  <c r="S95" i="43"/>
  <c r="X53" i="43"/>
  <c r="S114" i="43"/>
  <c r="S34" i="43"/>
  <c r="S96" i="43"/>
  <c r="T96" i="43" s="1"/>
  <c r="S20" i="43"/>
  <c r="T20" i="43" s="1"/>
  <c r="S117" i="43"/>
  <c r="T117" i="43" s="1"/>
  <c r="X57" i="43"/>
  <c r="S122" i="43"/>
  <c r="S81" i="43"/>
  <c r="S105" i="43"/>
  <c r="S88" i="43"/>
  <c r="T88" i="43" s="1"/>
  <c r="S22" i="43"/>
  <c r="T22" i="43" s="1"/>
  <c r="S101" i="43"/>
  <c r="T101" i="43" s="1"/>
  <c r="S70" i="43"/>
  <c r="T70" i="43" s="1"/>
  <c r="X59" i="43"/>
  <c r="S91" i="43"/>
  <c r="X58" i="43"/>
  <c r="S108" i="43"/>
  <c r="X54" i="43"/>
  <c r="S38" i="43"/>
  <c r="S40" i="43"/>
  <c r="S23" i="43"/>
  <c r="T23" i="43" s="1"/>
  <c r="S82" i="43"/>
  <c r="T82" i="43" s="1"/>
  <c r="X55" i="43"/>
  <c r="X52" i="43"/>
  <c r="S103" i="43"/>
  <c r="T103" i="43" s="1"/>
  <c r="S53" i="43"/>
  <c r="T53" i="43" s="1"/>
  <c r="S107" i="43"/>
  <c r="T107" i="43" s="1"/>
  <c r="S118" i="43"/>
  <c r="T118" i="43" s="1"/>
  <c r="S28" i="43"/>
  <c r="T28" i="43" s="1"/>
  <c r="S9" i="43"/>
  <c r="W55" i="43"/>
  <c r="S10" i="43"/>
  <c r="W56" i="43"/>
  <c r="G111" i="43"/>
  <c r="G63" i="43"/>
  <c r="R63" i="43" s="1"/>
  <c r="F155" i="43"/>
  <c r="S8" i="43"/>
  <c r="W54" i="43"/>
  <c r="G15" i="43"/>
  <c r="R15" i="43" s="1"/>
  <c r="F151" i="43"/>
  <c r="G51" i="43"/>
  <c r="R51" i="43" s="1"/>
  <c r="F154" i="43"/>
  <c r="G27" i="43"/>
  <c r="R27" i="43" s="1"/>
  <c r="F152" i="43"/>
  <c r="S4" i="43"/>
  <c r="W50" i="43"/>
  <c r="G39" i="43"/>
  <c r="R39" i="43" s="1"/>
  <c r="F153" i="43"/>
  <c r="G99" i="43"/>
  <c r="R99" i="43" s="1"/>
  <c r="F158" i="43"/>
  <c r="S14" i="43"/>
  <c r="W60" i="43"/>
  <c r="G75" i="43"/>
  <c r="R75" i="43" s="1"/>
  <c r="F156" i="43"/>
  <c r="W53" i="43"/>
  <c r="S7" i="43"/>
  <c r="G87" i="43"/>
  <c r="R87" i="43" s="1"/>
  <c r="F157" i="43"/>
  <c r="S5" i="43"/>
  <c r="W51" i="43"/>
  <c r="G3" i="43"/>
  <c r="R3" i="43" s="1"/>
  <c r="F150" i="43"/>
  <c r="S6" i="43"/>
  <c r="W52" i="43"/>
  <c r="S11" i="43"/>
  <c r="W57" i="43"/>
  <c r="S12" i="43"/>
  <c r="W58" i="43"/>
  <c r="S13" i="43"/>
  <c r="W59" i="43"/>
  <c r="F152" i="39"/>
  <c r="F155" i="39"/>
  <c r="F153" i="39"/>
  <c r="F150" i="39"/>
  <c r="G27" i="39"/>
  <c r="G3" i="39"/>
  <c r="G39" i="39"/>
  <c r="F159" i="39"/>
  <c r="F156" i="39"/>
  <c r="F151" i="39"/>
  <c r="F154" i="39"/>
  <c r="G15" i="39"/>
  <c r="F157" i="39"/>
  <c r="G51" i="39"/>
  <c r="F158" i="39"/>
  <c r="G158" i="39"/>
  <c r="G157" i="39"/>
  <c r="G155" i="39"/>
  <c r="G156" i="39"/>
  <c r="G159" i="39"/>
  <c r="R150" i="43" l="1"/>
  <c r="K30" i="35"/>
  <c r="BG29" i="35"/>
  <c r="N30" i="39"/>
  <c r="P30" i="43"/>
  <c r="K54" i="35"/>
  <c r="BG53" i="35"/>
  <c r="N54" i="39"/>
  <c r="P54" i="43"/>
  <c r="K102" i="35"/>
  <c r="BG101" i="35"/>
  <c r="N102" i="39"/>
  <c r="P102" i="43"/>
  <c r="K66" i="35"/>
  <c r="BG65" i="35"/>
  <c r="N66" i="39"/>
  <c r="P66" i="43"/>
  <c r="K78" i="35"/>
  <c r="BG77" i="35"/>
  <c r="N78" i="39"/>
  <c r="P78" i="43"/>
  <c r="K42" i="35"/>
  <c r="BG41" i="35"/>
  <c r="N42" i="39"/>
  <c r="P42" i="43"/>
  <c r="K90" i="35"/>
  <c r="BG89" i="35"/>
  <c r="N90" i="39"/>
  <c r="P90" i="43"/>
  <c r="G150" i="39"/>
  <c r="AE82" i="43"/>
  <c r="R111" i="43"/>
  <c r="X49" i="43" s="1"/>
  <c r="F164" i="43"/>
  <c r="G159" i="43"/>
  <c r="X83" i="43"/>
  <c r="X81" i="43"/>
  <c r="AD77" i="43"/>
  <c r="AD83" i="43"/>
  <c r="Z79" i="43"/>
  <c r="Y83" i="43"/>
  <c r="AF84" i="43"/>
  <c r="AE85" i="43"/>
  <c r="AF75" i="43"/>
  <c r="AF82" i="43"/>
  <c r="AE76" i="43"/>
  <c r="AD76" i="43"/>
  <c r="AB82" i="43"/>
  <c r="T47" i="43"/>
  <c r="AB81" i="43"/>
  <c r="AF80" i="43"/>
  <c r="AB85" i="43"/>
  <c r="Y75" i="43"/>
  <c r="X76" i="43"/>
  <c r="AA79" i="43"/>
  <c r="X79" i="43"/>
  <c r="Y84" i="43"/>
  <c r="Z85" i="43"/>
  <c r="AB76" i="43"/>
  <c r="Y77" i="43"/>
  <c r="AC76" i="43"/>
  <c r="Y79" i="43"/>
  <c r="X82" i="43"/>
  <c r="Y57" i="43"/>
  <c r="AA57" i="43" s="1"/>
  <c r="AD75" i="43"/>
  <c r="Y51" i="43"/>
  <c r="AA51" i="43" s="1"/>
  <c r="Y59" i="43"/>
  <c r="AA59" i="43" s="1"/>
  <c r="Y80" i="43"/>
  <c r="AE75" i="43"/>
  <c r="Z83" i="43"/>
  <c r="AA84" i="43"/>
  <c r="AD81" i="43"/>
  <c r="AF81" i="43"/>
  <c r="AA76" i="43"/>
  <c r="AC81" i="43"/>
  <c r="T52" i="43"/>
  <c r="AA75" i="43"/>
  <c r="T55" i="43"/>
  <c r="AA78" i="43"/>
  <c r="T59" i="43"/>
  <c r="AA82" i="43"/>
  <c r="T43" i="43"/>
  <c r="Z78" i="43"/>
  <c r="T57" i="43"/>
  <c r="AA80" i="43"/>
  <c r="T41" i="43"/>
  <c r="Z76" i="43"/>
  <c r="T45" i="43"/>
  <c r="Z80" i="43"/>
  <c r="T25" i="43"/>
  <c r="X84" i="43"/>
  <c r="T102" i="43"/>
  <c r="AE77" i="43"/>
  <c r="T81" i="43"/>
  <c r="AC80" i="43"/>
  <c r="T95" i="43"/>
  <c r="AD82" i="43"/>
  <c r="T31" i="43"/>
  <c r="Y78" i="43"/>
  <c r="T67" i="43"/>
  <c r="AB78" i="43"/>
  <c r="T80" i="43"/>
  <c r="AC79" i="43"/>
  <c r="T29" i="43"/>
  <c r="Y76" i="43"/>
  <c r="T69" i="43"/>
  <c r="AB80" i="43"/>
  <c r="T54" i="43"/>
  <c r="AA77" i="43"/>
  <c r="T62" i="43"/>
  <c r="AA85" i="43"/>
  <c r="T16" i="43"/>
  <c r="X75" i="43"/>
  <c r="T108" i="43"/>
  <c r="AE83" i="43"/>
  <c r="T105" i="43"/>
  <c r="AE80" i="43"/>
  <c r="T40" i="43"/>
  <c r="Z75" i="43"/>
  <c r="T38" i="43"/>
  <c r="Y85" i="43"/>
  <c r="T91" i="43"/>
  <c r="AD78" i="43"/>
  <c r="T122" i="43"/>
  <c r="AF85" i="43"/>
  <c r="T34" i="43"/>
  <c r="Y81" i="43"/>
  <c r="T64" i="43"/>
  <c r="AB75" i="43"/>
  <c r="T84" i="43"/>
  <c r="AC83" i="43"/>
  <c r="T106" i="43"/>
  <c r="AE81" i="43"/>
  <c r="T83" i="43"/>
  <c r="AC82" i="43"/>
  <c r="T76" i="43"/>
  <c r="AC75" i="43"/>
  <c r="T113" i="43"/>
  <c r="AF76" i="43"/>
  <c r="T109" i="43"/>
  <c r="AE84" i="43"/>
  <c r="T92" i="43"/>
  <c r="AD79" i="43"/>
  <c r="T114" i="43"/>
  <c r="AF77" i="43"/>
  <c r="T104" i="43"/>
  <c r="AE79" i="43"/>
  <c r="T115" i="43"/>
  <c r="AF78" i="43"/>
  <c r="T46" i="43"/>
  <c r="Z81" i="43"/>
  <c r="T93" i="43"/>
  <c r="AD80" i="43"/>
  <c r="T97" i="43"/>
  <c r="AD84" i="43"/>
  <c r="T35" i="43"/>
  <c r="Y82" i="43"/>
  <c r="T85" i="43"/>
  <c r="AC84" i="43"/>
  <c r="T120" i="43"/>
  <c r="AF83" i="43"/>
  <c r="T66" i="43"/>
  <c r="AB77" i="43"/>
  <c r="Y52" i="43"/>
  <c r="AA52" i="43" s="1"/>
  <c r="Y58" i="43"/>
  <c r="AA58" i="43" s="1"/>
  <c r="Y53" i="43"/>
  <c r="AA53" i="43" s="1"/>
  <c r="R158" i="43"/>
  <c r="S158" i="43" s="1"/>
  <c r="C13" i="44" s="1"/>
  <c r="X70" i="43"/>
  <c r="X64" i="43"/>
  <c r="R152" i="43"/>
  <c r="S152" i="43" s="1"/>
  <c r="C7" i="44" s="1"/>
  <c r="R155" i="43"/>
  <c r="S155" i="43" s="1"/>
  <c r="C10" i="44" s="1"/>
  <c r="X67" i="43"/>
  <c r="X56" i="43"/>
  <c r="Y56" i="43" s="1"/>
  <c r="AA56" i="43" s="1"/>
  <c r="S21" i="43"/>
  <c r="S68" i="43"/>
  <c r="S72" i="43"/>
  <c r="S19" i="43"/>
  <c r="X50" i="43"/>
  <c r="Y50" i="43" s="1"/>
  <c r="AA50" i="43" s="1"/>
  <c r="AC78" i="43"/>
  <c r="AA83" i="43"/>
  <c r="AC77" i="43"/>
  <c r="Z77" i="43"/>
  <c r="AF79" i="43"/>
  <c r="Y60" i="43"/>
  <c r="AA60" i="43" s="1"/>
  <c r="Y54" i="43"/>
  <c r="AA54" i="43" s="1"/>
  <c r="AE78" i="43"/>
  <c r="Y55" i="43"/>
  <c r="AA55" i="43" s="1"/>
  <c r="R157" i="43"/>
  <c r="S157" i="43" s="1"/>
  <c r="C12" i="44" s="1"/>
  <c r="X69" i="43"/>
  <c r="R156" i="43"/>
  <c r="S156" i="43" s="1"/>
  <c r="C11" i="44" s="1"/>
  <c r="X68" i="43"/>
  <c r="R153" i="43"/>
  <c r="S153" i="43" s="1"/>
  <c r="C8" i="44" s="1"/>
  <c r="X65" i="43"/>
  <c r="X66" i="43"/>
  <c r="R154" i="43"/>
  <c r="S154" i="43" s="1"/>
  <c r="C9" i="44" s="1"/>
  <c r="X63" i="43"/>
  <c r="R151" i="43"/>
  <c r="S151" i="43" s="1"/>
  <c r="C6" i="44" s="1"/>
  <c r="S18" i="43"/>
  <c r="S26" i="43"/>
  <c r="X62" i="43"/>
  <c r="T6" i="43"/>
  <c r="W77" i="43"/>
  <c r="S3" i="43"/>
  <c r="G150" i="43"/>
  <c r="W62" i="43"/>
  <c r="W49" i="43"/>
  <c r="S99" i="43"/>
  <c r="G158" i="43"/>
  <c r="W70" i="43"/>
  <c r="T12" i="43"/>
  <c r="W83" i="43"/>
  <c r="T5" i="43"/>
  <c r="W76" i="43"/>
  <c r="T4" i="43"/>
  <c r="W75" i="43"/>
  <c r="G152" i="43"/>
  <c r="W64" i="43"/>
  <c r="S27" i="43"/>
  <c r="S63" i="43"/>
  <c r="G155" i="43"/>
  <c r="W67" i="43"/>
  <c r="W71" i="43"/>
  <c r="T10" i="43"/>
  <c r="W81" i="43"/>
  <c r="T13" i="43"/>
  <c r="W84" i="43"/>
  <c r="S87" i="43"/>
  <c r="G157" i="43"/>
  <c r="W69" i="43"/>
  <c r="S75" i="43"/>
  <c r="G156" i="43"/>
  <c r="W68" i="43"/>
  <c r="T14" i="43"/>
  <c r="W85" i="43"/>
  <c r="T11" i="43"/>
  <c r="W82" i="43"/>
  <c r="T7" i="43"/>
  <c r="W78" i="43"/>
  <c r="G153" i="43"/>
  <c r="S39" i="43"/>
  <c r="W65" i="43"/>
  <c r="G154" i="43"/>
  <c r="S51" i="43"/>
  <c r="W66" i="43"/>
  <c r="S15" i="43"/>
  <c r="W63" i="43"/>
  <c r="G151" i="43"/>
  <c r="T8" i="43"/>
  <c r="W79" i="43"/>
  <c r="T9" i="43"/>
  <c r="W80" i="43"/>
  <c r="G152" i="39"/>
  <c r="G153" i="39"/>
  <c r="G151" i="39"/>
  <c r="G154" i="39"/>
  <c r="D6" i="44" l="1"/>
  <c r="D8" i="44"/>
  <c r="D7" i="44"/>
  <c r="K67" i="35"/>
  <c r="BG66" i="35"/>
  <c r="N67" i="39"/>
  <c r="P67" i="43"/>
  <c r="K103" i="35"/>
  <c r="BG102" i="35"/>
  <c r="N103" i="39"/>
  <c r="P103" i="43"/>
  <c r="K55" i="35"/>
  <c r="BG54" i="35"/>
  <c r="N55" i="39"/>
  <c r="P55" i="43"/>
  <c r="K31" i="35"/>
  <c r="BG30" i="35"/>
  <c r="N31" i="39"/>
  <c r="P31" i="43"/>
  <c r="K91" i="35"/>
  <c r="BG90" i="35"/>
  <c r="N91" i="39"/>
  <c r="P91" i="43"/>
  <c r="K43" i="35"/>
  <c r="BG42" i="35"/>
  <c r="N43" i="39"/>
  <c r="P43" i="43"/>
  <c r="K79" i="35"/>
  <c r="BG78" i="35"/>
  <c r="N79" i="39"/>
  <c r="P79" i="43"/>
  <c r="R159" i="43"/>
  <c r="S159" i="43" s="1"/>
  <c r="S111" i="43"/>
  <c r="T111" i="43" s="1"/>
  <c r="X71" i="43"/>
  <c r="Y71" i="43" s="1"/>
  <c r="AA71" i="43" s="1"/>
  <c r="Y69" i="43"/>
  <c r="AA69" i="43" s="1"/>
  <c r="Y65" i="43"/>
  <c r="AA65" i="43" s="1"/>
  <c r="Y67" i="43"/>
  <c r="AA67" i="43" s="1"/>
  <c r="Y70" i="43"/>
  <c r="AA70" i="43" s="1"/>
  <c r="Z51" i="43"/>
  <c r="T151" i="43"/>
  <c r="T153" i="43"/>
  <c r="T157" i="43"/>
  <c r="T152" i="43"/>
  <c r="T154" i="43"/>
  <c r="T156" i="43"/>
  <c r="T155" i="43"/>
  <c r="T158" i="43"/>
  <c r="Z58" i="43"/>
  <c r="Z57" i="43"/>
  <c r="Y63" i="43"/>
  <c r="AA63" i="43" s="1"/>
  <c r="Z52" i="43"/>
  <c r="Y66" i="43"/>
  <c r="AA66" i="43" s="1"/>
  <c r="AG82" i="43"/>
  <c r="Y68" i="43"/>
  <c r="AA68" i="43" s="1"/>
  <c r="AG81" i="43"/>
  <c r="AG84" i="43"/>
  <c r="T18" i="43"/>
  <c r="Z53" i="43" s="1"/>
  <c r="X77" i="43"/>
  <c r="AG77" i="43" s="1"/>
  <c r="T68" i="43"/>
  <c r="Z55" i="43" s="1"/>
  <c r="AB79" i="43"/>
  <c r="AG79" i="43" s="1"/>
  <c r="AG75" i="43"/>
  <c r="T21" i="43"/>
  <c r="Z56" i="43" s="1"/>
  <c r="X80" i="43"/>
  <c r="AG80" i="43" s="1"/>
  <c r="T19" i="43"/>
  <c r="Z54" i="43" s="1"/>
  <c r="X78" i="43"/>
  <c r="AG78" i="43" s="1"/>
  <c r="Y64" i="43"/>
  <c r="AA64" i="43" s="1"/>
  <c r="AG76" i="43"/>
  <c r="T26" i="43"/>
  <c r="Z49" i="43" s="1"/>
  <c r="X85" i="43"/>
  <c r="AG85" i="43" s="1"/>
  <c r="T72" i="43"/>
  <c r="Z59" i="43" s="1"/>
  <c r="AB83" i="43"/>
  <c r="AG83" i="43" s="1"/>
  <c r="Y49" i="43"/>
  <c r="AA49" i="43" s="1"/>
  <c r="Y62" i="43"/>
  <c r="AA62" i="43" s="1"/>
  <c r="S150" i="43"/>
  <c r="C5" i="44" s="1"/>
  <c r="T27" i="43"/>
  <c r="Y74" i="43"/>
  <c r="Y86" i="43" s="1"/>
  <c r="T99" i="43"/>
  <c r="Z70" i="43" s="1"/>
  <c r="AE74" i="43"/>
  <c r="AE86" i="43" s="1"/>
  <c r="T3" i="43"/>
  <c r="W74" i="43"/>
  <c r="T63" i="43"/>
  <c r="AB74" i="43"/>
  <c r="T51" i="43"/>
  <c r="Z66" i="43" s="1"/>
  <c r="AA74" i="43"/>
  <c r="AA86" i="43" s="1"/>
  <c r="T75" i="43"/>
  <c r="Z68" i="43" s="1"/>
  <c r="AC74" i="43"/>
  <c r="AC86" i="43" s="1"/>
  <c r="T87" i="43"/>
  <c r="Z69" i="43" s="1"/>
  <c r="AD74" i="43"/>
  <c r="AD86" i="43" s="1"/>
  <c r="T15" i="43"/>
  <c r="X74" i="43"/>
  <c r="T39" i="43"/>
  <c r="Z65" i="43" s="1"/>
  <c r="Z74" i="43"/>
  <c r="Z86" i="43" s="1"/>
  <c r="Z60" i="43"/>
  <c r="K80" i="35" l="1"/>
  <c r="BG79" i="35"/>
  <c r="P80" i="43"/>
  <c r="N80" i="39"/>
  <c r="K44" i="35"/>
  <c r="BG43" i="35"/>
  <c r="P44" i="43"/>
  <c r="N44" i="39"/>
  <c r="K92" i="35"/>
  <c r="BG91" i="35"/>
  <c r="P92" i="43"/>
  <c r="N92" i="39"/>
  <c r="K32" i="35"/>
  <c r="BG31" i="35"/>
  <c r="P32" i="43"/>
  <c r="N32" i="39"/>
  <c r="K56" i="35"/>
  <c r="BG55" i="35"/>
  <c r="P56" i="43"/>
  <c r="N56" i="39"/>
  <c r="K104" i="35"/>
  <c r="BG103" i="35"/>
  <c r="P104" i="43"/>
  <c r="N104" i="39"/>
  <c r="K68" i="35"/>
  <c r="BG67" i="35"/>
  <c r="P68" i="43"/>
  <c r="N68" i="39"/>
  <c r="C14" i="44"/>
  <c r="R164" i="43"/>
  <c r="S164" i="43" s="1"/>
  <c r="AF74" i="43"/>
  <c r="AF86" i="43" s="1"/>
  <c r="T159" i="43"/>
  <c r="U159" i="43" s="1"/>
  <c r="U158" i="43"/>
  <c r="U156" i="43"/>
  <c r="U157" i="43"/>
  <c r="U151" i="43"/>
  <c r="U155" i="43"/>
  <c r="U154" i="43"/>
  <c r="U152" i="43"/>
  <c r="U153" i="43"/>
  <c r="D5" i="44"/>
  <c r="T150" i="43"/>
  <c r="AB86" i="43"/>
  <c r="AB71" i="43"/>
  <c r="Z63" i="43"/>
  <c r="Z67" i="43"/>
  <c r="X86" i="43"/>
  <c r="W86" i="43"/>
  <c r="T123" i="43"/>
  <c r="Z62" i="43"/>
  <c r="Z50" i="43"/>
  <c r="Z64" i="43"/>
  <c r="Z71" i="43"/>
  <c r="K69" i="35" l="1"/>
  <c r="BG68" i="35"/>
  <c r="P69" i="43"/>
  <c r="N69" i="39"/>
  <c r="K105" i="35"/>
  <c r="BG104" i="35"/>
  <c r="P105" i="43"/>
  <c r="N105" i="39"/>
  <c r="K57" i="35"/>
  <c r="BG56" i="35"/>
  <c r="N57" i="39"/>
  <c r="P57" i="43"/>
  <c r="K33" i="35"/>
  <c r="BG32" i="35"/>
  <c r="N33" i="39"/>
  <c r="P33" i="43"/>
  <c r="K93" i="35"/>
  <c r="BG92" i="35"/>
  <c r="P93" i="43"/>
  <c r="N93" i="39"/>
  <c r="K45" i="35"/>
  <c r="BG44" i="35"/>
  <c r="P45" i="43"/>
  <c r="N45" i="39"/>
  <c r="K81" i="35"/>
  <c r="BG80" i="35"/>
  <c r="P81" i="43"/>
  <c r="N81" i="39"/>
  <c r="AG74" i="43"/>
  <c r="U150" i="43"/>
  <c r="AG86" i="43"/>
  <c r="K94" i="35" l="1"/>
  <c r="BG93" i="35"/>
  <c r="N94" i="39"/>
  <c r="P94" i="43"/>
  <c r="K46" i="35"/>
  <c r="BG45" i="35"/>
  <c r="N46" i="39"/>
  <c r="P46" i="43"/>
  <c r="K82" i="35"/>
  <c r="BG81" i="35"/>
  <c r="N82" i="39"/>
  <c r="P82" i="43"/>
  <c r="K34" i="35"/>
  <c r="BG33" i="35"/>
  <c r="N34" i="39"/>
  <c r="P34" i="43"/>
  <c r="K58" i="35"/>
  <c r="BG57" i="35"/>
  <c r="N58" i="39"/>
  <c r="P58" i="43"/>
  <c r="K106" i="35"/>
  <c r="BG105" i="35"/>
  <c r="N106" i="39"/>
  <c r="P106" i="43"/>
  <c r="K70" i="35"/>
  <c r="BG69" i="35"/>
  <c r="N70" i="39"/>
  <c r="P70" i="43"/>
  <c r="K35" i="35" l="1"/>
  <c r="BG34" i="35"/>
  <c r="N35" i="39"/>
  <c r="P35" i="43"/>
  <c r="K71" i="35"/>
  <c r="BG70" i="35"/>
  <c r="N71" i="39"/>
  <c r="P71" i="43"/>
  <c r="K107" i="35"/>
  <c r="BG106" i="35"/>
  <c r="N107" i="39"/>
  <c r="P107" i="43"/>
  <c r="K59" i="35"/>
  <c r="BG58" i="35"/>
  <c r="N59" i="39"/>
  <c r="P59" i="43"/>
  <c r="K83" i="35"/>
  <c r="BG82" i="35"/>
  <c r="N83" i="39"/>
  <c r="P83" i="43"/>
  <c r="K47" i="35"/>
  <c r="BG46" i="35"/>
  <c r="N47" i="39"/>
  <c r="P47" i="43"/>
  <c r="K95" i="35"/>
  <c r="BG94" i="35"/>
  <c r="N95" i="39"/>
  <c r="P95" i="43"/>
  <c r="K60" i="35" l="1"/>
  <c r="BG59" i="35"/>
  <c r="P60" i="43"/>
  <c r="N60" i="39"/>
  <c r="K48" i="35"/>
  <c r="BG47" i="35"/>
  <c r="P48" i="43"/>
  <c r="N48" i="39"/>
  <c r="K84" i="35"/>
  <c r="BG83" i="35"/>
  <c r="P84" i="43"/>
  <c r="N84" i="39"/>
  <c r="K96" i="35"/>
  <c r="BG95" i="35"/>
  <c r="P96" i="43"/>
  <c r="N96" i="39"/>
  <c r="K108" i="35"/>
  <c r="BG107" i="35"/>
  <c r="P108" i="43"/>
  <c r="N108" i="39"/>
  <c r="K72" i="35"/>
  <c r="BG71" i="35"/>
  <c r="P72" i="43"/>
  <c r="N72" i="39"/>
  <c r="K36" i="35"/>
  <c r="BG35" i="35"/>
  <c r="P36" i="43"/>
  <c r="N36" i="39"/>
  <c r="BG96" i="35" l="1"/>
  <c r="P97" i="43"/>
  <c r="N97" i="39"/>
  <c r="BG36" i="35"/>
  <c r="P37" i="43"/>
  <c r="N37" i="39"/>
  <c r="BG48" i="35"/>
  <c r="N49" i="39"/>
  <c r="P49" i="43"/>
  <c r="BG72" i="35"/>
  <c r="P73" i="43"/>
  <c r="N73" i="39"/>
  <c r="BG84" i="35"/>
  <c r="P85" i="43"/>
  <c r="N85" i="39"/>
  <c r="BG108" i="35"/>
  <c r="P109" i="43"/>
  <c r="N109" i="39"/>
  <c r="BG60" i="35"/>
  <c r="P61" i="43"/>
  <c r="N61" i="39"/>
  <c r="A34" i="9" l="1"/>
  <c r="F14" i="9" l="1"/>
  <c r="F14" i="44" s="1"/>
  <c r="O14" i="44" l="1"/>
  <c r="K45" i="11"/>
  <c r="G76" i="44" l="1"/>
  <c r="K55" i="11" l="1"/>
  <c r="J45" i="11" l="1"/>
  <c r="I45" i="11"/>
  <c r="H45" i="11"/>
  <c r="G6" i="9"/>
  <c r="G7" i="9"/>
  <c r="A33" i="9"/>
  <c r="D50" i="11" l="1"/>
  <c r="D8" i="11"/>
  <c r="C50" i="11"/>
  <c r="C8" i="11"/>
  <c r="I55" i="11"/>
  <c r="H55" i="11"/>
  <c r="J55" i="11"/>
  <c r="F9" i="18"/>
  <c r="F10" i="18"/>
  <c r="I46" i="11" l="1"/>
  <c r="J46" i="11"/>
  <c r="H46" i="11"/>
  <c r="I56" i="11" l="1"/>
  <c r="J56" i="11"/>
  <c r="F11" i="9" l="1"/>
  <c r="F11" i="44" s="1"/>
  <c r="O11" i="44" s="1"/>
  <c r="F12" i="9"/>
  <c r="F12" i="44" s="1"/>
  <c r="O12" i="44" s="1"/>
  <c r="F13" i="9"/>
  <c r="F13" i="44" s="1"/>
  <c r="O13" i="44" s="1"/>
  <c r="A38" i="11"/>
  <c r="H1" i="17"/>
  <c r="A11" i="11"/>
  <c r="A15" i="11"/>
  <c r="D1" i="17"/>
  <c r="A24" i="11"/>
  <c r="F1" i="17"/>
  <c r="S1" i="17" s="1"/>
  <c r="G1" i="17"/>
  <c r="G74" i="44" l="1"/>
  <c r="G73" i="44"/>
  <c r="G75" i="44"/>
  <c r="B1" i="18"/>
  <c r="J1" i="18" s="1"/>
  <c r="Q1" i="17"/>
  <c r="E1" i="18"/>
  <c r="M1" i="18" s="1"/>
  <c r="U1" i="17"/>
  <c r="D1" i="18"/>
  <c r="L1" i="18" s="1"/>
  <c r="T1" i="17"/>
  <c r="F8" i="9"/>
  <c r="F8" i="44" s="1"/>
  <c r="O8" i="44" s="1"/>
  <c r="F7" i="9"/>
  <c r="F7" i="44" s="1"/>
  <c r="O7" i="44" s="1"/>
  <c r="F10" i="9"/>
  <c r="F10" i="44" s="1"/>
  <c r="O10" i="44" s="1"/>
  <c r="F6" i="9"/>
  <c r="F6" i="44" s="1"/>
  <c r="O6" i="44" s="1"/>
  <c r="F9" i="9"/>
  <c r="F9" i="44" s="1"/>
  <c r="O9" i="44" s="1"/>
  <c r="F5" i="9"/>
  <c r="F5" i="44" s="1"/>
  <c r="J33" i="17"/>
  <c r="F5" i="18"/>
  <c r="F6" i="18"/>
  <c r="F4" i="18"/>
  <c r="F2" i="18"/>
  <c r="F7" i="18"/>
  <c r="F3" i="18"/>
  <c r="A29" i="11"/>
  <c r="A33" i="11"/>
  <c r="C1" i="17"/>
  <c r="P1" i="17" s="1"/>
  <c r="A19" i="11"/>
  <c r="B1" i="17"/>
  <c r="E1" i="17"/>
  <c r="I45" i="9"/>
  <c r="G68" i="44" l="1"/>
  <c r="G69" i="44"/>
  <c r="G71" i="44"/>
  <c r="G72" i="44"/>
  <c r="G70" i="44"/>
  <c r="O5" i="44"/>
  <c r="S109" i="17" a="1"/>
  <c r="S109" i="17" s="1"/>
  <c r="S110" i="17" s="1" a="1"/>
  <c r="S110" i="17" s="1"/>
  <c r="S111" i="17" s="1" a="1"/>
  <c r="S111" i="17" s="1"/>
  <c r="S112" i="17" s="1" a="1"/>
  <c r="S112" i="17" s="1"/>
  <c r="S113" i="17" s="1" a="1"/>
  <c r="S113" i="17" s="1"/>
  <c r="S114" i="17" s="1" a="1"/>
  <c r="S114" i="17" s="1"/>
  <c r="S115" i="17" s="1" a="1"/>
  <c r="S115" i="17" s="1"/>
  <c r="S116" i="17" s="1" a="1"/>
  <c r="S116" i="17" s="1"/>
  <c r="S117" i="17" s="1" a="1"/>
  <c r="S117" i="17" s="1"/>
  <c r="S118" i="17" s="1" a="1"/>
  <c r="S118" i="17" s="1"/>
  <c r="S119" i="17" s="1" a="1"/>
  <c r="S119" i="17" s="1"/>
  <c r="S120" i="17" s="1" a="1"/>
  <c r="S120" i="17" s="1"/>
  <c r="W109" i="17" a="1"/>
  <c r="W109" i="17" s="1"/>
  <c r="W110" i="17" s="1" a="1"/>
  <c r="W110" i="17" s="1"/>
  <c r="W111" i="17" s="1" a="1"/>
  <c r="W111" i="17" s="1"/>
  <c r="W112" i="17" s="1" a="1"/>
  <c r="W112" i="17" s="1"/>
  <c r="W113" i="17" s="1" a="1"/>
  <c r="W113" i="17" s="1"/>
  <c r="W114" i="17" s="1" a="1"/>
  <c r="W114" i="17" s="1"/>
  <c r="W115" i="17" s="1" a="1"/>
  <c r="W115" i="17" s="1"/>
  <c r="W116" i="17" s="1" a="1"/>
  <c r="W116" i="17" s="1"/>
  <c r="W117" i="17" s="1" a="1"/>
  <c r="W117" i="17" s="1"/>
  <c r="W118" i="17" s="1" a="1"/>
  <c r="W118" i="17" s="1"/>
  <c r="W119" i="17" s="1" a="1"/>
  <c r="W119" i="17" s="1"/>
  <c r="W120" i="17" s="1" a="1"/>
  <c r="W120" i="17" s="1"/>
  <c r="W97" i="17" a="1"/>
  <c r="W97" i="17" s="1"/>
  <c r="W98" i="17" s="1" a="1"/>
  <c r="W98" i="17" s="1"/>
  <c r="W99" i="17" s="1" a="1"/>
  <c r="W99" i="17" s="1"/>
  <c r="W100" i="17" s="1" a="1"/>
  <c r="W100" i="17" s="1"/>
  <c r="W101" i="17" s="1" a="1"/>
  <c r="W101" i="17" s="1"/>
  <c r="W102" i="17" s="1" a="1"/>
  <c r="W102" i="17" s="1"/>
  <c r="W103" i="17" s="1" a="1"/>
  <c r="W103" i="17" s="1"/>
  <c r="W104" i="17" s="1" a="1"/>
  <c r="W104" i="17" s="1"/>
  <c r="W105" i="17" s="1" a="1"/>
  <c r="W105" i="17" s="1"/>
  <c r="W106" i="17" s="1" a="1"/>
  <c r="W106" i="17" s="1"/>
  <c r="W107" i="17" s="1" a="1"/>
  <c r="W107" i="17" s="1"/>
  <c r="W108" i="17" s="1" a="1"/>
  <c r="W108" i="17" s="1"/>
  <c r="W85" i="17" a="1"/>
  <c r="W85" i="17" s="1"/>
  <c r="W86" i="17" s="1" a="1"/>
  <c r="W86" i="17" s="1"/>
  <c r="W87" i="17" s="1" a="1"/>
  <c r="W87" i="17" s="1"/>
  <c r="W88" i="17" s="1" a="1"/>
  <c r="W88" i="17" s="1"/>
  <c r="W89" i="17" s="1" a="1"/>
  <c r="W89" i="17" s="1"/>
  <c r="W90" i="17" s="1" a="1"/>
  <c r="W90" i="17" s="1"/>
  <c r="W91" i="17" s="1" a="1"/>
  <c r="W91" i="17" s="1"/>
  <c r="W92" i="17" s="1" a="1"/>
  <c r="W92" i="17" s="1"/>
  <c r="W93" i="17" s="1" a="1"/>
  <c r="W93" i="17" s="1"/>
  <c r="W94" i="17" s="1" a="1"/>
  <c r="W94" i="17" s="1"/>
  <c r="W95" i="17" s="1" a="1"/>
  <c r="W95" i="17" s="1"/>
  <c r="W96" i="17" s="1" a="1"/>
  <c r="W96" i="17" s="1"/>
  <c r="W49" i="17" a="1"/>
  <c r="W49" i="17" s="1"/>
  <c r="W50" i="17" s="1" a="1"/>
  <c r="W50" i="17" s="1"/>
  <c r="W51" i="17" s="1" a="1"/>
  <c r="W51" i="17" s="1"/>
  <c r="W52" i="17" s="1" a="1"/>
  <c r="W52" i="17" s="1"/>
  <c r="W53" i="17" s="1" a="1"/>
  <c r="W53" i="17" s="1"/>
  <c r="W54" i="17" s="1" a="1"/>
  <c r="W54" i="17" s="1"/>
  <c r="W55" i="17" s="1" a="1"/>
  <c r="W55" i="17" s="1"/>
  <c r="W56" i="17" s="1" a="1"/>
  <c r="W56" i="17" s="1"/>
  <c r="W57" i="17" s="1" a="1"/>
  <c r="W57" i="17" s="1"/>
  <c r="W58" i="17" s="1" a="1"/>
  <c r="W58" i="17" s="1"/>
  <c r="W59" i="17" s="1" a="1"/>
  <c r="W59" i="17" s="1"/>
  <c r="W60" i="17" s="1" a="1"/>
  <c r="W60" i="17" s="1"/>
  <c r="W37" i="17" a="1"/>
  <c r="W37" i="17" s="1"/>
  <c r="W38" i="17" s="1" a="1"/>
  <c r="W38" i="17" s="1"/>
  <c r="W39" i="17" s="1" a="1"/>
  <c r="W39" i="17" s="1"/>
  <c r="W40" i="17" s="1" a="1"/>
  <c r="W40" i="17" s="1"/>
  <c r="W41" i="17" s="1" a="1"/>
  <c r="W41" i="17" s="1"/>
  <c r="W42" i="17" s="1" a="1"/>
  <c r="W42" i="17" s="1"/>
  <c r="W43" i="17" s="1" a="1"/>
  <c r="W43" i="17" s="1"/>
  <c r="W44" i="17" s="1" a="1"/>
  <c r="W44" i="17" s="1"/>
  <c r="W45" i="17" s="1" a="1"/>
  <c r="W45" i="17" s="1"/>
  <c r="W46" i="17" s="1" a="1"/>
  <c r="W46" i="17" s="1"/>
  <c r="W47" i="17" s="1" a="1"/>
  <c r="W47" i="17" s="1"/>
  <c r="W48" i="17" s="1" a="1"/>
  <c r="W48" i="17" s="1"/>
  <c r="W25" i="17" a="1"/>
  <c r="W25" i="17" s="1"/>
  <c r="W26" i="17" s="1" a="1"/>
  <c r="W26" i="17" s="1"/>
  <c r="W27" i="17" s="1" a="1"/>
  <c r="W27" i="17" s="1"/>
  <c r="W28" i="17" s="1" a="1"/>
  <c r="W28" i="17" s="1"/>
  <c r="W29" i="17" s="1" a="1"/>
  <c r="W29" i="17" s="1"/>
  <c r="W30" i="17" s="1" a="1"/>
  <c r="W30" i="17" s="1"/>
  <c r="W31" i="17" s="1" a="1"/>
  <c r="W31" i="17" s="1"/>
  <c r="W32" i="17" s="1" a="1"/>
  <c r="W32" i="17" s="1"/>
  <c r="W33" i="17" s="1" a="1"/>
  <c r="W33" i="17" s="1"/>
  <c r="W34" i="17" s="1" a="1"/>
  <c r="W34" i="17" s="1"/>
  <c r="W35" i="17" s="1" a="1"/>
  <c r="W35" i="17" s="1"/>
  <c r="W36" i="17" s="1" a="1"/>
  <c r="W36" i="17" s="1"/>
  <c r="W121" i="17" a="1"/>
  <c r="W121" i="17" s="1"/>
  <c r="W13" i="17" a="1"/>
  <c r="W13" i="17" s="1"/>
  <c r="W14" i="17" s="1" a="1"/>
  <c r="W14" i="17" s="1"/>
  <c r="W15" i="17" s="1" a="1"/>
  <c r="W15" i="17" s="1"/>
  <c r="W16" i="17" s="1" a="1"/>
  <c r="W16" i="17" s="1"/>
  <c r="W17" i="17" s="1" a="1"/>
  <c r="W17" i="17" s="1"/>
  <c r="W18" i="17" s="1" a="1"/>
  <c r="W18" i="17" s="1"/>
  <c r="W19" i="17" s="1" a="1"/>
  <c r="W19" i="17" s="1"/>
  <c r="W20" i="17" s="1" a="1"/>
  <c r="W20" i="17" s="1"/>
  <c r="W21" i="17" s="1" a="1"/>
  <c r="W21" i="17" s="1"/>
  <c r="W22" i="17" s="1" a="1"/>
  <c r="W22" i="17" s="1"/>
  <c r="W23" i="17" s="1" a="1"/>
  <c r="W23" i="17" s="1"/>
  <c r="W24" i="17" s="1" a="1"/>
  <c r="W24" i="17" s="1"/>
  <c r="W2" i="17" a="1"/>
  <c r="W2" i="17" s="1"/>
  <c r="W3" i="17" s="1" a="1"/>
  <c r="W3" i="17" s="1"/>
  <c r="W4" i="17" s="1" a="1"/>
  <c r="W4" i="17" s="1"/>
  <c r="W5" i="17" s="1" a="1"/>
  <c r="W5" i="17" s="1"/>
  <c r="W6" i="17" s="1" a="1"/>
  <c r="W6" i="17" s="1"/>
  <c r="W7" i="17" s="1" a="1"/>
  <c r="W7" i="17" s="1"/>
  <c r="W8" i="17" s="1" a="1"/>
  <c r="W8" i="17" s="1"/>
  <c r="W9" i="17" s="1" a="1"/>
  <c r="W9" i="17" s="1"/>
  <c r="W10" i="17" s="1" a="1"/>
  <c r="W10" i="17" s="1"/>
  <c r="W11" i="17" s="1" a="1"/>
  <c r="W11" i="17" s="1"/>
  <c r="W12" i="17" s="1" a="1"/>
  <c r="W12" i="17" s="1"/>
  <c r="W61" i="17" a="1"/>
  <c r="W61" i="17" s="1"/>
  <c r="W62" i="17" s="1" a="1"/>
  <c r="W62" i="17" s="1"/>
  <c r="W63" i="17" s="1" a="1"/>
  <c r="W63" i="17" s="1"/>
  <c r="W64" i="17" s="1" a="1"/>
  <c r="W64" i="17" s="1"/>
  <c r="W65" i="17" s="1" a="1"/>
  <c r="W65" i="17" s="1"/>
  <c r="W66" i="17" s="1" a="1"/>
  <c r="W66" i="17" s="1"/>
  <c r="W67" i="17" s="1" a="1"/>
  <c r="W67" i="17" s="1"/>
  <c r="W68" i="17" s="1" a="1"/>
  <c r="W68" i="17" s="1"/>
  <c r="W69" i="17" s="1" a="1"/>
  <c r="W69" i="17" s="1"/>
  <c r="W70" i="17" s="1" a="1"/>
  <c r="W70" i="17" s="1"/>
  <c r="W71" i="17" s="1" a="1"/>
  <c r="W71" i="17" s="1"/>
  <c r="W72" i="17" s="1" a="1"/>
  <c r="W72" i="17" s="1"/>
  <c r="W73" i="17" a="1"/>
  <c r="W73" i="17" s="1"/>
  <c r="W74" i="17" s="1" a="1"/>
  <c r="W74" i="17" s="1"/>
  <c r="W75" i="17" s="1" a="1"/>
  <c r="W75" i="17" s="1"/>
  <c r="W76" i="17" s="1" a="1"/>
  <c r="W76" i="17" s="1"/>
  <c r="W77" i="17" s="1" a="1"/>
  <c r="W77" i="17" s="1"/>
  <c r="W78" i="17" s="1" a="1"/>
  <c r="W78" i="17" s="1"/>
  <c r="W79" i="17" s="1" a="1"/>
  <c r="W79" i="17" s="1"/>
  <c r="W80" i="17" s="1" a="1"/>
  <c r="W80" i="17" s="1"/>
  <c r="W81" i="17" s="1" a="1"/>
  <c r="W81" i="17" s="1"/>
  <c r="W82" i="17" s="1" a="1"/>
  <c r="W82" i="17" s="1"/>
  <c r="W83" i="17" s="1" a="1"/>
  <c r="W83" i="17" s="1"/>
  <c r="W84" i="17" s="1" a="1"/>
  <c r="W84" i="17" s="1"/>
  <c r="P73" i="17" a="1"/>
  <c r="P73" i="17" s="1"/>
  <c r="P74" i="17" s="1" a="1"/>
  <c r="P74" i="17" s="1"/>
  <c r="P75" i="17" s="1" a="1"/>
  <c r="P75" i="17" s="1"/>
  <c r="P76" i="17" s="1" a="1"/>
  <c r="P76" i="17" s="1"/>
  <c r="P77" i="17" s="1" a="1"/>
  <c r="P77" i="17" s="1"/>
  <c r="P78" i="17" s="1" a="1"/>
  <c r="P78" i="17" s="1"/>
  <c r="P79" i="17" s="1" a="1"/>
  <c r="P79" i="17" s="1"/>
  <c r="P80" i="17" s="1" a="1"/>
  <c r="P80" i="17" s="1"/>
  <c r="P81" i="17" s="1" a="1"/>
  <c r="P81" i="17" s="1"/>
  <c r="P82" i="17" s="1" a="1"/>
  <c r="P82" i="17" s="1"/>
  <c r="P83" i="17" s="1" a="1"/>
  <c r="P83" i="17" s="1"/>
  <c r="P84" i="17" s="1" a="1"/>
  <c r="P84" i="17" s="1"/>
  <c r="P25" i="17" a="1"/>
  <c r="P25" i="17" s="1"/>
  <c r="P26" i="17" s="1" a="1"/>
  <c r="P26" i="17" s="1"/>
  <c r="P37" i="17" a="1"/>
  <c r="P37" i="17" s="1"/>
  <c r="P38" i="17" s="1" a="1"/>
  <c r="P38" i="17" s="1"/>
  <c r="P85" i="17" a="1"/>
  <c r="P85" i="17" s="1"/>
  <c r="P86" i="17" s="1" a="1"/>
  <c r="P86" i="17" s="1"/>
  <c r="P13" i="17" a="1"/>
  <c r="P13" i="17" s="1"/>
  <c r="P14" i="17" s="1" a="1"/>
  <c r="P14" i="17" s="1"/>
  <c r="P49" i="17" a="1"/>
  <c r="P49" i="17" s="1"/>
  <c r="P50" i="17" s="1" a="1"/>
  <c r="P50" i="17" s="1"/>
  <c r="P61" i="17" a="1"/>
  <c r="P61" i="17" s="1"/>
  <c r="P62" i="17" s="1" a="1"/>
  <c r="P62" i="17" s="1"/>
  <c r="P109" i="17" a="1"/>
  <c r="P109" i="17" s="1"/>
  <c r="P110" i="17" s="1" a="1"/>
  <c r="P110" i="17" s="1"/>
  <c r="P121" i="17" a="1"/>
  <c r="P121" i="17" s="1"/>
  <c r="P2" i="17" a="1"/>
  <c r="P2" i="17" s="1"/>
  <c r="P3" i="17" s="1" a="1"/>
  <c r="P3" i="17" s="1"/>
  <c r="P4" i="17" s="1" a="1"/>
  <c r="P4" i="17" s="1"/>
  <c r="P5" i="17" s="1" a="1"/>
  <c r="P5" i="17" s="1"/>
  <c r="P6" i="17" s="1" a="1"/>
  <c r="P6" i="17" s="1"/>
  <c r="P7" i="17" s="1" a="1"/>
  <c r="P7" i="17" s="1"/>
  <c r="P8" i="17" s="1" a="1"/>
  <c r="P8" i="17" s="1"/>
  <c r="P9" i="17" s="1" a="1"/>
  <c r="P9" i="17" s="1"/>
  <c r="P10" i="17" s="1" a="1"/>
  <c r="P10" i="17" s="1"/>
  <c r="P11" i="17" s="1" a="1"/>
  <c r="P11" i="17" s="1"/>
  <c r="P12" i="17" s="1" a="1"/>
  <c r="P12" i="17" s="1"/>
  <c r="P97" i="17" a="1"/>
  <c r="P97" i="17" s="1"/>
  <c r="P98" i="17" s="1" a="1"/>
  <c r="P98" i="17" s="1"/>
  <c r="P99" i="17" s="1" a="1"/>
  <c r="P99" i="17" s="1"/>
  <c r="P100" i="17" s="1" a="1"/>
  <c r="P100" i="17" s="1"/>
  <c r="P101" i="17" s="1" a="1"/>
  <c r="P101" i="17" s="1"/>
  <c r="P102" i="17" s="1" a="1"/>
  <c r="P102" i="17" s="1"/>
  <c r="P103" i="17" s="1" a="1"/>
  <c r="P103" i="17" s="1"/>
  <c r="P104" i="17" s="1" a="1"/>
  <c r="P104" i="17" s="1"/>
  <c r="P105" i="17" s="1" a="1"/>
  <c r="P105" i="17" s="1"/>
  <c r="P106" i="17" s="1" a="1"/>
  <c r="P106" i="17" s="1"/>
  <c r="P107" i="17" s="1" a="1"/>
  <c r="P107" i="17" s="1"/>
  <c r="P108" i="17" s="1" a="1"/>
  <c r="P108" i="17" s="1"/>
  <c r="S133" i="17" a="1"/>
  <c r="S133" i="17" s="1"/>
  <c r="S134" i="17" s="1" a="1"/>
  <c r="S134" i="17" s="1"/>
  <c r="S135" i="17" s="1" a="1"/>
  <c r="S135" i="17" s="1"/>
  <c r="S136" i="17" s="1" a="1"/>
  <c r="S136" i="17" s="1"/>
  <c r="S137" i="17" s="1" a="1"/>
  <c r="S137" i="17" s="1"/>
  <c r="S138" i="17" s="1" a="1"/>
  <c r="S138" i="17" s="1"/>
  <c r="S139" i="17" s="1" a="1"/>
  <c r="S139" i="17" s="1"/>
  <c r="S140" i="17" s="1" a="1"/>
  <c r="S140" i="17" s="1"/>
  <c r="S141" i="17" s="1" a="1"/>
  <c r="S141" i="17" s="1"/>
  <c r="S142" i="17" s="1" a="1"/>
  <c r="S142" i="17" s="1"/>
  <c r="S143" i="17" s="1" a="1"/>
  <c r="S143" i="17" s="1"/>
  <c r="S144" i="17" s="1" a="1"/>
  <c r="S144" i="17" s="1"/>
  <c r="S145" i="17" a="1"/>
  <c r="S145" i="17" s="1"/>
  <c r="U85" i="17" a="1"/>
  <c r="U85" i="17" s="1"/>
  <c r="U86" i="17" s="1" a="1"/>
  <c r="U86" i="17" s="1"/>
  <c r="U133" i="17" a="1"/>
  <c r="U133" i="17" s="1"/>
  <c r="U134" i="17" s="1" a="1"/>
  <c r="U134" i="17" s="1"/>
  <c r="U135" i="17" s="1" a="1"/>
  <c r="U135" i="17" s="1"/>
  <c r="U136" i="17" s="1" a="1"/>
  <c r="U136" i="17" s="1"/>
  <c r="U137" i="17" s="1" a="1"/>
  <c r="U137" i="17" s="1"/>
  <c r="U138" i="17" s="1" a="1"/>
  <c r="U138" i="17" s="1"/>
  <c r="U139" i="17" s="1" a="1"/>
  <c r="U139" i="17" s="1"/>
  <c r="U140" i="17" s="1" a="1"/>
  <c r="U140" i="17" s="1"/>
  <c r="U141" i="17" s="1" a="1"/>
  <c r="U141" i="17" s="1"/>
  <c r="U142" i="17" s="1" a="1"/>
  <c r="U142" i="17" s="1"/>
  <c r="U143" i="17" s="1" a="1"/>
  <c r="U143" i="17" s="1"/>
  <c r="U144" i="17" s="1" a="1"/>
  <c r="U144" i="17" s="1"/>
  <c r="U145" i="17" a="1"/>
  <c r="U145" i="17" s="1"/>
  <c r="U109" i="17" a="1"/>
  <c r="U109" i="17" s="1"/>
  <c r="U110" i="17" s="1" a="1"/>
  <c r="U110" i="17" s="1"/>
  <c r="U121" i="17" a="1"/>
  <c r="U121" i="17" s="1"/>
  <c r="U122" i="17" s="1" a="1"/>
  <c r="U122" i="17" s="1"/>
  <c r="U123" i="17" s="1" a="1"/>
  <c r="U123" i="17" s="1"/>
  <c r="U124" i="17" s="1" a="1"/>
  <c r="U124" i="17" s="1"/>
  <c r="U125" i="17" s="1" a="1"/>
  <c r="U125" i="17" s="1"/>
  <c r="U126" i="17" s="1" a="1"/>
  <c r="U126" i="17" s="1"/>
  <c r="U127" i="17" s="1" a="1"/>
  <c r="U127" i="17" s="1"/>
  <c r="U128" i="17" s="1" a="1"/>
  <c r="U128" i="17" s="1"/>
  <c r="U129" i="17" s="1" a="1"/>
  <c r="U129" i="17" s="1"/>
  <c r="U130" i="17" s="1" a="1"/>
  <c r="U130" i="17" s="1"/>
  <c r="U131" i="17" s="1" a="1"/>
  <c r="U131" i="17" s="1"/>
  <c r="U132" i="17" s="1" a="1"/>
  <c r="U132" i="17" s="1"/>
  <c r="U2" i="17" a="1"/>
  <c r="U2" i="17" s="1"/>
  <c r="U25" i="17" a="1"/>
  <c r="U25" i="17" s="1"/>
  <c r="U26" i="17" s="1" a="1"/>
  <c r="U26" i="17" s="1"/>
  <c r="U27" i="17" s="1" a="1"/>
  <c r="U27" i="17" s="1"/>
  <c r="U28" i="17" s="1" a="1"/>
  <c r="U28" i="17" s="1"/>
  <c r="U29" i="17" s="1" a="1"/>
  <c r="U29" i="17" s="1"/>
  <c r="U30" i="17" s="1" a="1"/>
  <c r="U30" i="17" s="1"/>
  <c r="U31" i="17" s="1" a="1"/>
  <c r="U31" i="17" s="1"/>
  <c r="U32" i="17" s="1" a="1"/>
  <c r="U32" i="17" s="1"/>
  <c r="U33" i="17" s="1" a="1"/>
  <c r="U33" i="17" s="1"/>
  <c r="U34" i="17" s="1" a="1"/>
  <c r="U34" i="17" s="1"/>
  <c r="U35" i="17" s="1" a="1"/>
  <c r="U35" i="17" s="1"/>
  <c r="U36" i="17" s="1" a="1"/>
  <c r="U36" i="17" s="1"/>
  <c r="U73" i="17" a="1"/>
  <c r="U73" i="17" s="1"/>
  <c r="U74" i="17" s="1" a="1"/>
  <c r="U74" i="17" s="1"/>
  <c r="U13" i="17" a="1"/>
  <c r="U13" i="17" s="1"/>
  <c r="U14" i="17" s="1" a="1"/>
  <c r="U14" i="17" s="1"/>
  <c r="U49" i="17" a="1"/>
  <c r="U49" i="17" s="1"/>
  <c r="U50" i="17" s="1" a="1"/>
  <c r="U50" i="17" s="1"/>
  <c r="U61" i="17" a="1"/>
  <c r="U61" i="17" s="1"/>
  <c r="U62" i="17" s="1" a="1"/>
  <c r="U62" i="17" s="1"/>
  <c r="U37" i="17" a="1"/>
  <c r="U37" i="17" s="1"/>
  <c r="U38" i="17" s="1" a="1"/>
  <c r="U38" i="17" s="1"/>
  <c r="U97" i="17" a="1"/>
  <c r="U97" i="17" s="1"/>
  <c r="U98" i="17" s="1" a="1"/>
  <c r="U98" i="17" s="1"/>
  <c r="O1" i="17"/>
  <c r="O13" i="17" s="1" a="1"/>
  <c r="O13" i="17" s="1"/>
  <c r="BF13" i="35" s="1"/>
  <c r="V121" i="17" a="1"/>
  <c r="V121" i="17" s="1"/>
  <c r="J121" i="35" s="1"/>
  <c r="V73" i="17" a="1"/>
  <c r="V73" i="17" s="1"/>
  <c r="V37" i="17" a="1"/>
  <c r="V37" i="17" s="1"/>
  <c r="V25" i="17" a="1"/>
  <c r="V25" i="17" s="1"/>
  <c r="V97" i="17" a="1"/>
  <c r="V97" i="17" s="1"/>
  <c r="J97" i="35" s="1"/>
  <c r="V109" i="17" a="1"/>
  <c r="V109" i="17" s="1"/>
  <c r="J109" i="35" s="1"/>
  <c r="V49" i="17" a="1"/>
  <c r="V49" i="17" s="1"/>
  <c r="J49" i="35" s="1"/>
  <c r="V13" i="17" a="1"/>
  <c r="V13" i="17" s="1"/>
  <c r="V61" i="17" a="1"/>
  <c r="V61" i="17" s="1"/>
  <c r="J61" i="35" s="1"/>
  <c r="V85" i="17" a="1"/>
  <c r="V85" i="17" s="1"/>
  <c r="V2" i="17" a="1"/>
  <c r="V2" i="17" s="1"/>
  <c r="S97" i="17" a="1"/>
  <c r="S97" i="17" s="1"/>
  <c r="S98" i="17" s="1" a="1"/>
  <c r="S98" i="17" s="1"/>
  <c r="S85" i="17" a="1"/>
  <c r="S85" i="17" s="1"/>
  <c r="S61" i="17" a="1"/>
  <c r="S61" i="17" s="1"/>
  <c r="S62" i="17" s="1" a="1"/>
  <c r="S62" i="17" s="1"/>
  <c r="C1" i="18"/>
  <c r="K1" i="18" s="1"/>
  <c r="R1" i="17"/>
  <c r="S86" i="17" a="1"/>
  <c r="S86" i="17" s="1"/>
  <c r="S37" i="17" a="1"/>
  <c r="S37" i="17" s="1"/>
  <c r="S38" i="17" s="1" a="1"/>
  <c r="S38" i="17" s="1"/>
  <c r="S2" i="17" a="1"/>
  <c r="S2" i="17" s="1"/>
  <c r="S49" i="17" a="1"/>
  <c r="S49" i="17" s="1"/>
  <c r="S50" i="17" s="1" a="1"/>
  <c r="S50" i="17" s="1"/>
  <c r="Q85" i="17" a="1"/>
  <c r="Q85" i="17" s="1"/>
  <c r="Q86" i="17" s="1" a="1"/>
  <c r="Q86" i="17" s="1"/>
  <c r="Q13" i="17" a="1"/>
  <c r="Q13" i="17" s="1"/>
  <c r="Q14" i="17" s="1" a="1"/>
  <c r="Q14" i="17" s="1"/>
  <c r="Q15" i="17" s="1" a="1"/>
  <c r="Q15" i="17" s="1"/>
  <c r="Q16" i="17" s="1" a="1"/>
  <c r="Q16" i="17" s="1"/>
  <c r="Q17" i="17" s="1" a="1"/>
  <c r="Q17" i="17" s="1"/>
  <c r="Q18" i="17" s="1" a="1"/>
  <c r="Q18" i="17" s="1"/>
  <c r="Q19" i="17" s="1" a="1"/>
  <c r="Q19" i="17" s="1"/>
  <c r="Q20" i="17" s="1" a="1"/>
  <c r="Q20" i="17" s="1"/>
  <c r="Q21" i="17" s="1" a="1"/>
  <c r="Q21" i="17" s="1"/>
  <c r="Q22" i="17" s="1" a="1"/>
  <c r="Q22" i="17" s="1"/>
  <c r="Q23" i="17" s="1" a="1"/>
  <c r="Q23" i="17" s="1"/>
  <c r="Q24" i="17" s="1" a="1"/>
  <c r="Q24" i="17" s="1"/>
  <c r="Q49" i="17" a="1"/>
  <c r="Q49" i="17" s="1"/>
  <c r="Q50" i="17" s="1" a="1"/>
  <c r="Q50" i="17" s="1"/>
  <c r="Q61" i="17" a="1"/>
  <c r="Q61" i="17" s="1"/>
  <c r="Q62" i="17" s="1" a="1"/>
  <c r="Q62" i="17" s="1"/>
  <c r="Q97" i="17" a="1"/>
  <c r="Q97" i="17" s="1"/>
  <c r="Q98" i="17" s="1" a="1"/>
  <c r="Q98" i="17" s="1"/>
  <c r="Q99" i="17" s="1" a="1"/>
  <c r="Q99" i="17" s="1"/>
  <c r="Q100" i="17" s="1" a="1"/>
  <c r="Q100" i="17" s="1"/>
  <c r="Q101" i="17" s="1" a="1"/>
  <c r="Q101" i="17" s="1"/>
  <c r="Q102" i="17" s="1" a="1"/>
  <c r="Q102" i="17" s="1"/>
  <c r="Q103" i="17" s="1" a="1"/>
  <c r="Q103" i="17" s="1"/>
  <c r="Q104" i="17" s="1" a="1"/>
  <c r="Q104" i="17" s="1"/>
  <c r="Q105" i="17" s="1" a="1"/>
  <c r="Q105" i="17" s="1"/>
  <c r="Q106" i="17" s="1" a="1"/>
  <c r="Q106" i="17" s="1"/>
  <c r="Q107" i="17" s="1" a="1"/>
  <c r="Q107" i="17" s="1"/>
  <c r="Q108" i="17" s="1" a="1"/>
  <c r="Q108" i="17" s="1"/>
  <c r="Q73" i="17" a="1"/>
  <c r="Q73" i="17" s="1"/>
  <c r="Q74" i="17" s="1" a="1"/>
  <c r="Q74" i="17" s="1"/>
  <c r="Q109" i="17" a="1"/>
  <c r="Q109" i="17" s="1"/>
  <c r="Q110" i="17" s="1" a="1"/>
  <c r="Q110" i="17" s="1"/>
  <c r="Q121" i="17" a="1"/>
  <c r="Q121" i="17" s="1"/>
  <c r="Q2" i="17" a="1"/>
  <c r="Q2" i="17" s="1"/>
  <c r="Q25" i="17" a="1"/>
  <c r="Q25" i="17" s="1"/>
  <c r="Q26" i="17" s="1" a="1"/>
  <c r="Q26" i="17" s="1"/>
  <c r="Q37" i="17" a="1"/>
  <c r="Q37" i="17" s="1"/>
  <c r="Q38" i="17" s="1" a="1"/>
  <c r="Q38" i="17" s="1"/>
  <c r="T73" i="17" a="1"/>
  <c r="T73" i="17" s="1"/>
  <c r="T74" i="17" s="1" a="1"/>
  <c r="T74" i="17" s="1"/>
  <c r="T97" i="17" a="1"/>
  <c r="T97" i="17" s="1"/>
  <c r="T98" i="17" s="1" a="1"/>
  <c r="T98" i="17" s="1"/>
  <c r="T145" i="17" a="1"/>
  <c r="T145" i="17" s="1"/>
  <c r="T13" i="17" a="1"/>
  <c r="T13" i="17" s="1"/>
  <c r="T14" i="17" s="1" a="1"/>
  <c r="T14" i="17" s="1"/>
  <c r="T49" i="17" a="1"/>
  <c r="T49" i="17" s="1"/>
  <c r="T50" i="17" s="1" a="1"/>
  <c r="T50" i="17" s="1"/>
  <c r="T61" i="17" a="1"/>
  <c r="T61" i="17" s="1"/>
  <c r="T62" i="17" s="1" a="1"/>
  <c r="T62" i="17" s="1"/>
  <c r="T109" i="17" a="1"/>
  <c r="T109" i="17" s="1"/>
  <c r="T110" i="17" s="1" a="1"/>
  <c r="T110" i="17" s="1"/>
  <c r="T121" i="17" a="1"/>
  <c r="T121" i="17" s="1"/>
  <c r="T122" i="17" s="1" a="1"/>
  <c r="T122" i="17" s="1"/>
  <c r="T123" i="17" s="1" a="1"/>
  <c r="T123" i="17" s="1"/>
  <c r="T124" i="17" s="1" a="1"/>
  <c r="T124" i="17" s="1"/>
  <c r="T125" i="17" s="1" a="1"/>
  <c r="T125" i="17" s="1"/>
  <c r="T126" i="17" s="1" a="1"/>
  <c r="T126" i="17" s="1"/>
  <c r="T127" i="17" s="1" a="1"/>
  <c r="T127" i="17" s="1"/>
  <c r="T128" i="17" s="1" a="1"/>
  <c r="T128" i="17" s="1"/>
  <c r="T129" i="17" s="1" a="1"/>
  <c r="T129" i="17" s="1"/>
  <c r="T130" i="17" s="1" a="1"/>
  <c r="T130" i="17" s="1"/>
  <c r="T131" i="17" s="1" a="1"/>
  <c r="T131" i="17" s="1"/>
  <c r="T132" i="17" s="1" a="1"/>
  <c r="T132" i="17" s="1"/>
  <c r="T2" i="17" a="1"/>
  <c r="T2" i="17" s="1"/>
  <c r="T3" i="17" s="1" a="1"/>
  <c r="T3" i="17" s="1"/>
  <c r="T4" i="17" s="1" a="1"/>
  <c r="T4" i="17" s="1"/>
  <c r="T5" i="17" s="1" a="1"/>
  <c r="T5" i="17" s="1"/>
  <c r="T6" i="17" s="1" a="1"/>
  <c r="T6" i="17" s="1"/>
  <c r="T7" i="17" s="1" a="1"/>
  <c r="T7" i="17" s="1"/>
  <c r="T8" i="17" s="1" a="1"/>
  <c r="T8" i="17" s="1"/>
  <c r="T9" i="17" s="1" a="1"/>
  <c r="T9" i="17" s="1"/>
  <c r="T10" i="17" s="1" a="1"/>
  <c r="T10" i="17" s="1"/>
  <c r="T11" i="17" s="1" a="1"/>
  <c r="T11" i="17" s="1"/>
  <c r="T12" i="17" s="1" a="1"/>
  <c r="T12" i="17" s="1"/>
  <c r="T25" i="17" a="1"/>
  <c r="T25" i="17" s="1"/>
  <c r="T26" i="17" s="1" a="1"/>
  <c r="T26" i="17" s="1"/>
  <c r="T37" i="17" a="1"/>
  <c r="T37" i="17" s="1"/>
  <c r="T38" i="17" s="1" a="1"/>
  <c r="T38" i="17" s="1"/>
  <c r="T85" i="17" a="1"/>
  <c r="T85" i="17" s="1"/>
  <c r="T86" i="17" s="1" a="1"/>
  <c r="T86" i="17" s="1"/>
  <c r="T133" i="17" a="1"/>
  <c r="T133" i="17" s="1"/>
  <c r="T134" i="17" s="1" a="1"/>
  <c r="T134" i="17" s="1"/>
  <c r="T135" i="17" s="1" a="1"/>
  <c r="T135" i="17" s="1"/>
  <c r="T136" i="17" s="1" a="1"/>
  <c r="T136" i="17" s="1"/>
  <c r="T137" i="17" s="1" a="1"/>
  <c r="T137" i="17" s="1"/>
  <c r="T138" i="17" s="1" a="1"/>
  <c r="T138" i="17" s="1"/>
  <c r="T139" i="17" s="1" a="1"/>
  <c r="T139" i="17" s="1"/>
  <c r="T140" i="17" s="1" a="1"/>
  <c r="T140" i="17" s="1"/>
  <c r="T141" i="17" s="1" a="1"/>
  <c r="T141" i="17" s="1"/>
  <c r="T142" i="17" s="1" a="1"/>
  <c r="T142" i="17" s="1"/>
  <c r="T143" i="17" s="1" a="1"/>
  <c r="T143" i="17" s="1"/>
  <c r="T144" i="17" s="1" a="1"/>
  <c r="T144" i="17" s="1"/>
  <c r="S73" i="17" a="1"/>
  <c r="S73" i="17" s="1"/>
  <c r="S74" i="17" s="1" a="1"/>
  <c r="S74" i="17" s="1"/>
  <c r="S25" i="17" a="1"/>
  <c r="S25" i="17" s="1"/>
  <c r="S26" i="17" s="1" a="1"/>
  <c r="S26" i="17" s="1"/>
  <c r="S121" i="17" a="1"/>
  <c r="S121" i="17" s="1"/>
  <c r="S122" i="17" s="1" a="1"/>
  <c r="S122" i="17" s="1"/>
  <c r="S123" i="17" s="1" a="1"/>
  <c r="S123" i="17" s="1"/>
  <c r="S124" i="17" s="1" a="1"/>
  <c r="S124" i="17" s="1"/>
  <c r="S125" i="17" s="1" a="1"/>
  <c r="S125" i="17" s="1"/>
  <c r="S126" i="17" s="1" a="1"/>
  <c r="S126" i="17" s="1"/>
  <c r="S127" i="17" s="1" a="1"/>
  <c r="S127" i="17" s="1"/>
  <c r="S128" i="17" s="1" a="1"/>
  <c r="S128" i="17" s="1"/>
  <c r="S129" i="17" s="1" a="1"/>
  <c r="S129" i="17" s="1"/>
  <c r="S130" i="17" s="1" a="1"/>
  <c r="S130" i="17" s="1"/>
  <c r="S131" i="17" s="1" a="1"/>
  <c r="S131" i="17" s="1"/>
  <c r="S132" i="17" s="1" a="1"/>
  <c r="S132" i="17" s="1"/>
  <c r="S13" i="17" a="1"/>
  <c r="S13" i="17" s="1"/>
  <c r="S14" i="17" s="1" a="1"/>
  <c r="S14" i="17" s="1"/>
  <c r="K2" i="35"/>
  <c r="K13" i="35"/>
  <c r="G46" i="11"/>
  <c r="F46" i="11"/>
  <c r="B46" i="11"/>
  <c r="B56" i="11" s="1"/>
  <c r="D46" i="11"/>
  <c r="C46" i="11"/>
  <c r="E46" i="11"/>
  <c r="B45" i="11"/>
  <c r="G45" i="11"/>
  <c r="D45" i="11"/>
  <c r="E45" i="11"/>
  <c r="E55" i="11" s="1"/>
  <c r="C45" i="11"/>
  <c r="F45" i="11"/>
  <c r="K3" i="35" l="1"/>
  <c r="BG2" i="35"/>
  <c r="P3" i="43"/>
  <c r="N3" i="39"/>
  <c r="K14" i="35"/>
  <c r="BG13" i="35"/>
  <c r="N14" i="39"/>
  <c r="P14" i="43"/>
  <c r="G67" i="44"/>
  <c r="D56" i="11"/>
  <c r="E56" i="11"/>
  <c r="F56" i="11"/>
  <c r="G56" i="11"/>
  <c r="C56" i="11"/>
  <c r="T15" i="17" a="1"/>
  <c r="T15" i="17" s="1"/>
  <c r="T16" i="17" s="1" a="1"/>
  <c r="T16" i="17" s="1"/>
  <c r="T17" i="17" s="1" a="1"/>
  <c r="T17" i="17" s="1"/>
  <c r="T18" i="17" s="1" a="1"/>
  <c r="T18" i="17" s="1"/>
  <c r="T19" i="17" s="1" a="1"/>
  <c r="T19" i="17" s="1"/>
  <c r="T20" i="17" s="1" a="1"/>
  <c r="T20" i="17" s="1"/>
  <c r="T21" i="17" s="1" a="1"/>
  <c r="T21" i="17" s="1"/>
  <c r="T22" i="17" s="1" a="1"/>
  <c r="T22" i="17" s="1"/>
  <c r="T23" i="17" s="1" a="1"/>
  <c r="T23" i="17" s="1"/>
  <c r="T24" i="17" s="1" a="1"/>
  <c r="T24" i="17" s="1"/>
  <c r="U51" i="17" a="1"/>
  <c r="U51" i="17" s="1"/>
  <c r="U52" i="17" s="1" a="1"/>
  <c r="U52" i="17" s="1"/>
  <c r="U53" i="17" s="1" a="1"/>
  <c r="U53" i="17" s="1"/>
  <c r="U54" i="17" s="1" a="1"/>
  <c r="U54" i="17" s="1"/>
  <c r="U55" i="17" s="1" a="1"/>
  <c r="U55" i="17" s="1"/>
  <c r="U56" i="17" s="1" a="1"/>
  <c r="U56" i="17" s="1"/>
  <c r="U57" i="17" s="1" a="1"/>
  <c r="U57" i="17" s="1"/>
  <c r="U58" i="17" s="1" a="1"/>
  <c r="U58" i="17" s="1"/>
  <c r="U59" i="17" s="1" a="1"/>
  <c r="U59" i="17" s="1"/>
  <c r="U60" i="17" s="1" a="1"/>
  <c r="U60" i="17" s="1"/>
  <c r="T99" i="17" a="1"/>
  <c r="T99" i="17" s="1"/>
  <c r="T100" i="17" s="1" a="1"/>
  <c r="T100" i="17" s="1"/>
  <c r="T101" i="17" s="1" a="1"/>
  <c r="T101" i="17" s="1"/>
  <c r="T102" i="17" s="1" a="1"/>
  <c r="T102" i="17" s="1"/>
  <c r="T103" i="17" s="1" a="1"/>
  <c r="T103" i="17" s="1"/>
  <c r="T104" i="17" s="1" a="1"/>
  <c r="T104" i="17" s="1"/>
  <c r="T105" i="17" s="1" a="1"/>
  <c r="T105" i="17" s="1"/>
  <c r="T106" i="17" s="1" a="1"/>
  <c r="T106" i="17" s="1"/>
  <c r="T107" i="17" s="1" a="1"/>
  <c r="T107" i="17" s="1"/>
  <c r="T108" i="17" s="1" a="1"/>
  <c r="T108" i="17" s="1"/>
  <c r="G2" i="17"/>
  <c r="T51" i="17" a="1"/>
  <c r="T51" i="17" s="1"/>
  <c r="T52" i="17" s="1" a="1"/>
  <c r="T52" i="17" s="1"/>
  <c r="T53" i="17" s="1" a="1"/>
  <c r="T53" i="17" s="1"/>
  <c r="T54" i="17" s="1" a="1"/>
  <c r="T54" i="17" s="1"/>
  <c r="T55" i="17" s="1" a="1"/>
  <c r="T55" i="17" s="1"/>
  <c r="T56" i="17" s="1" a="1"/>
  <c r="T56" i="17" s="1"/>
  <c r="T57" i="17" s="1" a="1"/>
  <c r="T57" i="17" s="1"/>
  <c r="T58" i="17" s="1" a="1"/>
  <c r="T58" i="17" s="1"/>
  <c r="T59" i="17" s="1" a="1"/>
  <c r="T59" i="17" s="1"/>
  <c r="T60" i="17" s="1" a="1"/>
  <c r="T60" i="17" s="1"/>
  <c r="T75" i="17" a="1"/>
  <c r="T75" i="17" s="1"/>
  <c r="T76" i="17" s="1" a="1"/>
  <c r="T76" i="17" s="1"/>
  <c r="T77" i="17" s="1" a="1"/>
  <c r="T77" i="17" s="1"/>
  <c r="T78" i="17" s="1" a="1"/>
  <c r="T78" i="17" s="1"/>
  <c r="T79" i="17" s="1" a="1"/>
  <c r="T79" i="17" s="1"/>
  <c r="T80" i="17" s="1" a="1"/>
  <c r="T80" i="17" s="1"/>
  <c r="T81" i="17" s="1" a="1"/>
  <c r="T81" i="17" s="1"/>
  <c r="T82" i="17" s="1" a="1"/>
  <c r="T82" i="17" s="1"/>
  <c r="T83" i="17" s="1" a="1"/>
  <c r="T83" i="17" s="1"/>
  <c r="T84" i="17" s="1" a="1"/>
  <c r="T84" i="17" s="1"/>
  <c r="Q39" i="17" a="1"/>
  <c r="Q39" i="17" s="1"/>
  <c r="Q40" i="17" s="1" a="1"/>
  <c r="Q40" i="17" s="1"/>
  <c r="Q41" i="17" s="1" a="1"/>
  <c r="Q41" i="17" s="1"/>
  <c r="Q42" i="17" s="1" a="1"/>
  <c r="Q42" i="17" s="1"/>
  <c r="Q43" i="17" s="1" a="1"/>
  <c r="Q43" i="17" s="1"/>
  <c r="Q44" i="17" s="1" a="1"/>
  <c r="Q44" i="17" s="1"/>
  <c r="Q45" i="17" s="1" a="1"/>
  <c r="Q45" i="17" s="1"/>
  <c r="Q46" i="17" s="1" a="1"/>
  <c r="Q46" i="17" s="1"/>
  <c r="Q47" i="17" s="1" a="1"/>
  <c r="Q47" i="17" s="1"/>
  <c r="Q48" i="17" s="1" a="1"/>
  <c r="Q48" i="17" s="1"/>
  <c r="Q111" i="17" a="1"/>
  <c r="Q111" i="17" s="1"/>
  <c r="Q112" i="17" s="1" a="1"/>
  <c r="Q112" i="17" s="1"/>
  <c r="Q113" i="17" s="1" a="1"/>
  <c r="Q113" i="17" s="1"/>
  <c r="Q114" i="17" s="1" a="1"/>
  <c r="Q114" i="17" s="1"/>
  <c r="Q115" i="17" s="1" a="1"/>
  <c r="Q115" i="17" s="1"/>
  <c r="Q116" i="17" s="1" a="1"/>
  <c r="Q116" i="17" s="1"/>
  <c r="Q117" i="17" s="1" a="1"/>
  <c r="Q117" i="17" s="1"/>
  <c r="Q118" i="17" s="1" a="1"/>
  <c r="Q118" i="17" s="1"/>
  <c r="Q119" i="17" s="1" a="1"/>
  <c r="Q119" i="17" s="1"/>
  <c r="Q120" i="17" s="1" a="1"/>
  <c r="Q120" i="17" s="1"/>
  <c r="D10" i="17"/>
  <c r="S39" i="17" a="1"/>
  <c r="S39" i="17" s="1"/>
  <c r="S40" i="17" s="1" a="1"/>
  <c r="S40" i="17" s="1"/>
  <c r="S41" i="17" s="1" a="1"/>
  <c r="S41" i="17" s="1"/>
  <c r="S42" i="17" s="1" a="1"/>
  <c r="S42" i="17" s="1"/>
  <c r="S43" i="17" s="1" a="1"/>
  <c r="S43" i="17" s="1"/>
  <c r="S44" i="17" s="1" a="1"/>
  <c r="S44" i="17" s="1"/>
  <c r="S45" i="17" s="1" a="1"/>
  <c r="S45" i="17" s="1"/>
  <c r="S46" i="17" s="1" a="1"/>
  <c r="S46" i="17" s="1"/>
  <c r="S47" i="17" s="1" a="1"/>
  <c r="S47" i="17" s="1"/>
  <c r="S48" i="17" s="1" a="1"/>
  <c r="S48" i="17" s="1"/>
  <c r="S63" i="17" a="1"/>
  <c r="S63" i="17" s="1"/>
  <c r="S64" i="17" s="1" a="1"/>
  <c r="S64" i="17" s="1"/>
  <c r="S65" i="17" s="1" a="1"/>
  <c r="S65" i="17" s="1"/>
  <c r="S66" i="17" s="1" a="1"/>
  <c r="S66" i="17" s="1"/>
  <c r="S67" i="17" s="1" a="1"/>
  <c r="S67" i="17" s="1"/>
  <c r="S68" i="17" s="1" a="1"/>
  <c r="S68" i="17" s="1"/>
  <c r="S69" i="17" s="1" a="1"/>
  <c r="S69" i="17" s="1"/>
  <c r="S70" i="17" s="1" a="1"/>
  <c r="S70" i="17" s="1"/>
  <c r="S71" i="17" s="1" a="1"/>
  <c r="S71" i="17" s="1"/>
  <c r="S72" i="17" s="1" a="1"/>
  <c r="S72" i="17" s="1"/>
  <c r="V110" i="17" a="1"/>
  <c r="V110" i="17" s="1"/>
  <c r="V50" i="17" a="1"/>
  <c r="V50" i="17" s="1"/>
  <c r="V98" i="17" a="1"/>
  <c r="V98" i="17" s="1"/>
  <c r="O14" i="17" a="1"/>
  <c r="O14" i="17" s="1"/>
  <c r="BF14" i="35" s="1"/>
  <c r="O49" i="17" a="1"/>
  <c r="O49" i="17" s="1"/>
  <c r="O61" i="17" a="1"/>
  <c r="O61" i="17" s="1"/>
  <c r="O109" i="17" a="1"/>
  <c r="O109" i="17" s="1"/>
  <c r="O121" i="17" a="1"/>
  <c r="O121" i="17" s="1"/>
  <c r="BF121" i="35" s="1"/>
  <c r="O73" i="17" a="1"/>
  <c r="O73" i="17" s="1"/>
  <c r="O2" i="17" a="1"/>
  <c r="O2" i="17" s="1"/>
  <c r="BF2" i="35" s="1"/>
  <c r="O25" i="17" a="1"/>
  <c r="O25" i="17" s="1"/>
  <c r="O37" i="17" a="1"/>
  <c r="O37" i="17" s="1"/>
  <c r="O97" i="17" a="1"/>
  <c r="O97" i="17" s="1"/>
  <c r="O85" i="17" a="1"/>
  <c r="O85" i="17" s="1"/>
  <c r="U15" i="17" a="1"/>
  <c r="U15" i="17" s="1"/>
  <c r="U16" i="17" s="1" a="1"/>
  <c r="U16" i="17" s="1"/>
  <c r="U17" i="17" s="1" a="1"/>
  <c r="U17" i="17" s="1"/>
  <c r="U18" i="17" s="1" a="1"/>
  <c r="U18" i="17" s="1"/>
  <c r="U19" i="17" s="1" a="1"/>
  <c r="U19" i="17" s="1"/>
  <c r="U20" i="17" s="1" a="1"/>
  <c r="U20" i="17" s="1"/>
  <c r="U21" i="17" s="1" a="1"/>
  <c r="U21" i="17" s="1"/>
  <c r="U22" i="17" s="1" a="1"/>
  <c r="U22" i="17" s="1"/>
  <c r="U23" i="17" s="1" a="1"/>
  <c r="U23" i="17" s="1"/>
  <c r="U24" i="17" s="1" a="1"/>
  <c r="U24" i="17" s="1"/>
  <c r="U87" i="17" a="1"/>
  <c r="U87" i="17" s="1"/>
  <c r="U88" i="17" s="1" a="1"/>
  <c r="U88" i="17" s="1"/>
  <c r="U89" i="17" s="1" a="1"/>
  <c r="U89" i="17" s="1"/>
  <c r="U90" i="17" s="1" a="1"/>
  <c r="U90" i="17" s="1"/>
  <c r="U91" i="17" s="1" a="1"/>
  <c r="U91" i="17" s="1"/>
  <c r="U92" i="17" s="1" a="1"/>
  <c r="U92" i="17" s="1"/>
  <c r="U93" i="17" s="1" a="1"/>
  <c r="U93" i="17" s="1"/>
  <c r="U94" i="17" s="1" a="1"/>
  <c r="U94" i="17" s="1"/>
  <c r="U95" i="17" s="1" a="1"/>
  <c r="U95" i="17" s="1"/>
  <c r="U96" i="17" s="1" a="1"/>
  <c r="U96" i="17" s="1"/>
  <c r="P15" i="17" a="1"/>
  <c r="P15" i="17" s="1"/>
  <c r="P16" i="17" s="1" a="1"/>
  <c r="P16" i="17" s="1"/>
  <c r="P17" i="17" s="1" a="1"/>
  <c r="P17" i="17" s="1"/>
  <c r="P18" i="17" s="1" a="1"/>
  <c r="P18" i="17" s="1"/>
  <c r="P19" i="17" s="1" a="1"/>
  <c r="P19" i="17" s="1"/>
  <c r="P20" i="17" s="1" a="1"/>
  <c r="P20" i="17" s="1"/>
  <c r="P21" i="17" s="1" a="1"/>
  <c r="P21" i="17" s="1"/>
  <c r="P22" i="17" s="1" a="1"/>
  <c r="P22" i="17" s="1"/>
  <c r="P23" i="17" s="1" a="1"/>
  <c r="P23" i="17" s="1"/>
  <c r="P24" i="17" s="1" a="1"/>
  <c r="P24" i="17" s="1"/>
  <c r="C8" i="17"/>
  <c r="T111" i="17" a="1"/>
  <c r="T111" i="17" s="1"/>
  <c r="T112" i="17" s="1" a="1"/>
  <c r="T112" i="17" s="1"/>
  <c r="T113" i="17" s="1" a="1"/>
  <c r="T113" i="17" s="1"/>
  <c r="T114" i="17" s="1" a="1"/>
  <c r="T114" i="17" s="1"/>
  <c r="T115" i="17" s="1" a="1"/>
  <c r="T115" i="17" s="1"/>
  <c r="T116" i="17" s="1" a="1"/>
  <c r="T116" i="17" s="1"/>
  <c r="T117" i="17" s="1" a="1"/>
  <c r="T117" i="17" s="1"/>
  <c r="T118" i="17" s="1" a="1"/>
  <c r="T118" i="17" s="1"/>
  <c r="T119" i="17" s="1" a="1"/>
  <c r="T119" i="17" s="1"/>
  <c r="T120" i="17" s="1" a="1"/>
  <c r="T120" i="17" s="1"/>
  <c r="S15" i="17" a="1"/>
  <c r="S15" i="17" s="1"/>
  <c r="S16" i="17" s="1" a="1"/>
  <c r="S16" i="17" s="1"/>
  <c r="S17" i="17" s="1" a="1"/>
  <c r="S17" i="17" s="1"/>
  <c r="S18" i="17" s="1" a="1"/>
  <c r="S18" i="17" s="1"/>
  <c r="S19" i="17" s="1" a="1"/>
  <c r="S19" i="17" s="1"/>
  <c r="S20" i="17" s="1" a="1"/>
  <c r="S20" i="17" s="1"/>
  <c r="S21" i="17" s="1" a="1"/>
  <c r="S21" i="17" s="1"/>
  <c r="S22" i="17" s="1" a="1"/>
  <c r="S22" i="17" s="1"/>
  <c r="S23" i="17" s="1" a="1"/>
  <c r="S23" i="17" s="1"/>
  <c r="S24" i="17" s="1" a="1"/>
  <c r="S24" i="17" s="1"/>
  <c r="T63" i="17" a="1"/>
  <c r="T63" i="17" s="1"/>
  <c r="T64" i="17" s="1" a="1"/>
  <c r="T64" i="17" s="1"/>
  <c r="T65" i="17" s="1" a="1"/>
  <c r="T65" i="17" s="1"/>
  <c r="T66" i="17" s="1" a="1"/>
  <c r="T66" i="17" s="1"/>
  <c r="T67" i="17" s="1" a="1"/>
  <c r="T67" i="17" s="1"/>
  <c r="T68" i="17" s="1" a="1"/>
  <c r="T68" i="17" s="1"/>
  <c r="T69" i="17" s="1" a="1"/>
  <c r="T69" i="17" s="1"/>
  <c r="T70" i="17" s="1" a="1"/>
  <c r="T70" i="17" s="1"/>
  <c r="T71" i="17" s="1" a="1"/>
  <c r="T71" i="17" s="1"/>
  <c r="T72" i="17" s="1" a="1"/>
  <c r="T72" i="17" s="1"/>
  <c r="S27" i="17" a="1"/>
  <c r="S27" i="17" s="1"/>
  <c r="S28" i="17" s="1" a="1"/>
  <c r="S28" i="17" s="1"/>
  <c r="S29" i="17" s="1" a="1"/>
  <c r="S29" i="17" s="1"/>
  <c r="S30" i="17" s="1" a="1"/>
  <c r="S30" i="17" s="1"/>
  <c r="S31" i="17" s="1" a="1"/>
  <c r="S31" i="17" s="1"/>
  <c r="S32" i="17" s="1" a="1"/>
  <c r="S32" i="17" s="1"/>
  <c r="S33" i="17" s="1" a="1"/>
  <c r="S33" i="17" s="1"/>
  <c r="S34" i="17" s="1" a="1"/>
  <c r="S34" i="17" s="1"/>
  <c r="S35" i="17" s="1" a="1"/>
  <c r="S35" i="17" s="1"/>
  <c r="S36" i="17" s="1" a="1"/>
  <c r="S36" i="17" s="1"/>
  <c r="T87" i="17" a="1"/>
  <c r="T87" i="17" s="1"/>
  <c r="T88" i="17" s="1" a="1"/>
  <c r="T88" i="17" s="1"/>
  <c r="T89" i="17" s="1" a="1"/>
  <c r="T89" i="17" s="1"/>
  <c r="T90" i="17" s="1" a="1"/>
  <c r="T90" i="17" s="1"/>
  <c r="T91" i="17" s="1" a="1"/>
  <c r="T91" i="17" s="1"/>
  <c r="T92" i="17" s="1" a="1"/>
  <c r="T92" i="17" s="1"/>
  <c r="T93" i="17" s="1" a="1"/>
  <c r="T93" i="17" s="1"/>
  <c r="T94" i="17" s="1" a="1"/>
  <c r="T94" i="17" s="1"/>
  <c r="T95" i="17" s="1" a="1"/>
  <c r="T95" i="17" s="1"/>
  <c r="T96" i="17" s="1" a="1"/>
  <c r="T96" i="17" s="1"/>
  <c r="Q27" i="17" a="1"/>
  <c r="Q27" i="17" s="1"/>
  <c r="Q28" i="17" s="1" a="1"/>
  <c r="Q28" i="17" s="1"/>
  <c r="Q29" i="17" s="1" a="1"/>
  <c r="Q29" i="17" s="1"/>
  <c r="Q30" i="17" s="1" a="1"/>
  <c r="Q30" i="17" s="1"/>
  <c r="Q31" i="17" s="1" a="1"/>
  <c r="Q31" i="17" s="1"/>
  <c r="Q32" i="17" s="1" a="1"/>
  <c r="Q32" i="17" s="1"/>
  <c r="Q33" i="17" s="1" a="1"/>
  <c r="Q33" i="17" s="1"/>
  <c r="Q34" i="17" s="1" a="1"/>
  <c r="Q34" i="17" s="1"/>
  <c r="Q35" i="17" s="1" a="1"/>
  <c r="Q35" i="17" s="1"/>
  <c r="Q36" i="17" s="1" a="1"/>
  <c r="Q36" i="17" s="1"/>
  <c r="Q63" i="17" a="1"/>
  <c r="Q63" i="17" s="1"/>
  <c r="Q64" i="17" s="1" a="1"/>
  <c r="Q64" i="17" s="1"/>
  <c r="Q65" i="17" s="1" a="1"/>
  <c r="Q65" i="17" s="1"/>
  <c r="Q66" i="17" s="1" a="1"/>
  <c r="Q66" i="17" s="1"/>
  <c r="Q67" i="17" s="1" a="1"/>
  <c r="Q67" i="17" s="1"/>
  <c r="Q68" i="17" s="1" a="1"/>
  <c r="Q68" i="17" s="1"/>
  <c r="Q69" i="17" s="1" a="1"/>
  <c r="Q69" i="17" s="1"/>
  <c r="Q70" i="17" s="1" a="1"/>
  <c r="Q70" i="17" s="1"/>
  <c r="Q71" i="17" s="1" a="1"/>
  <c r="Q71" i="17" s="1"/>
  <c r="Q72" i="17" s="1" a="1"/>
  <c r="Q72" i="17" s="1"/>
  <c r="Q87" i="17" a="1"/>
  <c r="Q87" i="17" s="1"/>
  <c r="Q88" i="17" s="1" a="1"/>
  <c r="Q88" i="17" s="1"/>
  <c r="Q89" i="17" s="1" a="1"/>
  <c r="Q89" i="17" s="1"/>
  <c r="Q90" i="17" s="1" a="1"/>
  <c r="Q90" i="17" s="1"/>
  <c r="Q91" i="17" s="1" a="1"/>
  <c r="Q91" i="17" s="1"/>
  <c r="Q92" i="17" s="1" a="1"/>
  <c r="Q92" i="17" s="1"/>
  <c r="Q93" i="17" s="1" a="1"/>
  <c r="Q93" i="17" s="1"/>
  <c r="Q94" i="17" s="1" a="1"/>
  <c r="Q94" i="17" s="1"/>
  <c r="Q95" i="17" s="1" a="1"/>
  <c r="Q95" i="17" s="1"/>
  <c r="Q96" i="17" s="1" a="1"/>
  <c r="Q96" i="17" s="1"/>
  <c r="S87" i="17" a="1"/>
  <c r="S87" i="17" s="1"/>
  <c r="S88" i="17" s="1" a="1"/>
  <c r="S88" i="17" s="1"/>
  <c r="S89" i="17" s="1" a="1"/>
  <c r="S89" i="17" s="1"/>
  <c r="S90" i="17" s="1" a="1"/>
  <c r="S90" i="17" s="1"/>
  <c r="S91" i="17" s="1" a="1"/>
  <c r="S91" i="17" s="1"/>
  <c r="S92" i="17" s="1" a="1"/>
  <c r="S92" i="17" s="1"/>
  <c r="S93" i="17" s="1" a="1"/>
  <c r="S93" i="17" s="1"/>
  <c r="S94" i="17" s="1" a="1"/>
  <c r="S94" i="17" s="1"/>
  <c r="S95" i="17" s="1" a="1"/>
  <c r="S95" i="17" s="1"/>
  <c r="S96" i="17" s="1" a="1"/>
  <c r="S96" i="17" s="1"/>
  <c r="V3" i="17" a="1"/>
  <c r="V3" i="17" s="1"/>
  <c r="J2" i="35"/>
  <c r="V14" i="17" a="1"/>
  <c r="V14" i="17" s="1"/>
  <c r="J13" i="35"/>
  <c r="V62" i="17" a="1"/>
  <c r="V62" i="17" s="1"/>
  <c r="V38" i="17" a="1"/>
  <c r="V38" i="17" s="1"/>
  <c r="J37" i="35"/>
  <c r="U39" i="17" a="1"/>
  <c r="U39" i="17" s="1"/>
  <c r="U40" i="17" s="1" a="1"/>
  <c r="U40" i="17" s="1"/>
  <c r="U41" i="17" s="1" a="1"/>
  <c r="U41" i="17" s="1"/>
  <c r="U42" i="17" s="1" a="1"/>
  <c r="U42" i="17" s="1"/>
  <c r="U43" i="17" s="1" a="1"/>
  <c r="U43" i="17" s="1"/>
  <c r="U44" i="17" s="1" a="1"/>
  <c r="U44" i="17" s="1"/>
  <c r="U45" i="17" s="1" a="1"/>
  <c r="U45" i="17" s="1"/>
  <c r="U46" i="17" s="1" a="1"/>
  <c r="U46" i="17" s="1"/>
  <c r="U47" i="17" s="1" a="1"/>
  <c r="U47" i="17" s="1"/>
  <c r="U48" i="17" s="1" a="1"/>
  <c r="U48" i="17" s="1"/>
  <c r="U75" i="17" a="1"/>
  <c r="U75" i="17" s="1"/>
  <c r="U76" i="17" s="1" a="1"/>
  <c r="U76" i="17" s="1"/>
  <c r="U77" i="17" s="1" a="1"/>
  <c r="U77" i="17" s="1"/>
  <c r="U78" i="17" s="1" a="1"/>
  <c r="U78" i="17" s="1"/>
  <c r="U79" i="17" s="1" a="1"/>
  <c r="U79" i="17" s="1"/>
  <c r="U80" i="17" s="1" a="1"/>
  <c r="U80" i="17" s="1"/>
  <c r="U81" i="17" s="1" a="1"/>
  <c r="U81" i="17" s="1"/>
  <c r="U82" i="17" s="1" a="1"/>
  <c r="U82" i="17" s="1"/>
  <c r="U83" i="17" s="1" a="1"/>
  <c r="U83" i="17" s="1"/>
  <c r="U84" i="17" s="1" a="1"/>
  <c r="U84" i="17" s="1"/>
  <c r="U111" i="17" a="1"/>
  <c r="U111" i="17" s="1"/>
  <c r="U112" i="17" s="1" a="1"/>
  <c r="U112" i="17" s="1"/>
  <c r="U113" i="17" s="1" a="1"/>
  <c r="U113" i="17" s="1"/>
  <c r="U114" i="17" s="1" a="1"/>
  <c r="U114" i="17" s="1"/>
  <c r="U115" i="17" s="1" a="1"/>
  <c r="U115" i="17" s="1"/>
  <c r="U116" i="17" s="1" a="1"/>
  <c r="U116" i="17" s="1"/>
  <c r="U117" i="17" s="1" a="1"/>
  <c r="U117" i="17" s="1"/>
  <c r="U118" i="17" s="1" a="1"/>
  <c r="U118" i="17" s="1"/>
  <c r="U119" i="17" s="1" a="1"/>
  <c r="U119" i="17" s="1"/>
  <c r="U120" i="17" s="1" a="1"/>
  <c r="U120" i="17" s="1"/>
  <c r="P111" i="17" a="1"/>
  <c r="P111" i="17" s="1"/>
  <c r="P112" i="17" s="1" a="1"/>
  <c r="P112" i="17" s="1"/>
  <c r="P113" i="17" s="1" a="1"/>
  <c r="P113" i="17" s="1"/>
  <c r="P114" i="17" s="1" a="1"/>
  <c r="P114" i="17" s="1"/>
  <c r="P115" i="17" s="1" a="1"/>
  <c r="P115" i="17" s="1"/>
  <c r="P116" i="17" s="1" a="1"/>
  <c r="P116" i="17" s="1"/>
  <c r="P117" i="17" s="1" a="1"/>
  <c r="P117" i="17" s="1"/>
  <c r="P118" i="17" s="1" a="1"/>
  <c r="P118" i="17" s="1"/>
  <c r="P119" i="17" s="1" a="1"/>
  <c r="P119" i="17" s="1"/>
  <c r="P120" i="17" s="1" a="1"/>
  <c r="P120" i="17" s="1"/>
  <c r="P87" i="17" a="1"/>
  <c r="P87" i="17" s="1"/>
  <c r="P88" i="17" s="1" a="1"/>
  <c r="P88" i="17" s="1"/>
  <c r="P89" i="17" s="1" a="1"/>
  <c r="P89" i="17" s="1"/>
  <c r="P90" i="17" s="1" a="1"/>
  <c r="P90" i="17" s="1"/>
  <c r="P91" i="17" s="1" a="1"/>
  <c r="P91" i="17" s="1"/>
  <c r="P92" i="17" s="1" a="1"/>
  <c r="P92" i="17" s="1"/>
  <c r="P93" i="17" s="1" a="1"/>
  <c r="P93" i="17" s="1"/>
  <c r="P94" i="17" s="1" a="1"/>
  <c r="P94" i="17" s="1"/>
  <c r="P95" i="17" s="1" a="1"/>
  <c r="P95" i="17" s="1"/>
  <c r="P96" i="17" s="1" a="1"/>
  <c r="P96" i="17" s="1"/>
  <c r="T39" i="17" a="1"/>
  <c r="T39" i="17" s="1"/>
  <c r="T40" i="17" s="1" a="1"/>
  <c r="T40" i="17" s="1"/>
  <c r="T41" i="17" s="1" a="1"/>
  <c r="T41" i="17" s="1"/>
  <c r="T42" i="17" s="1" a="1"/>
  <c r="T42" i="17" s="1"/>
  <c r="T43" i="17" s="1" a="1"/>
  <c r="T43" i="17" s="1"/>
  <c r="T44" i="17" s="1" a="1"/>
  <c r="T44" i="17" s="1"/>
  <c r="T45" i="17" s="1" a="1"/>
  <c r="T45" i="17" s="1"/>
  <c r="T46" i="17" s="1" a="1"/>
  <c r="T46" i="17" s="1"/>
  <c r="T47" i="17" s="1" a="1"/>
  <c r="T47" i="17" s="1"/>
  <c r="T48" i="17" s="1" a="1"/>
  <c r="T48" i="17" s="1"/>
  <c r="Q3" i="17" a="1"/>
  <c r="Q3" i="17" s="1"/>
  <c r="Q4" i="17" s="1" a="1"/>
  <c r="Q4" i="17" s="1"/>
  <c r="Q5" i="17" s="1" a="1"/>
  <c r="Q5" i="17" s="1"/>
  <c r="Q6" i="17" s="1" a="1"/>
  <c r="Q6" i="17" s="1"/>
  <c r="Q7" i="17" s="1" a="1"/>
  <c r="Q7" i="17" s="1"/>
  <c r="Q8" i="17" s="1" a="1"/>
  <c r="Q8" i="17" s="1"/>
  <c r="Q9" i="17" s="1" a="1"/>
  <c r="Q9" i="17" s="1"/>
  <c r="Q10" i="17" s="1" a="1"/>
  <c r="Q10" i="17" s="1"/>
  <c r="Q11" i="17" s="1" a="1"/>
  <c r="Q11" i="17" s="1"/>
  <c r="Q12" i="17" s="1" a="1"/>
  <c r="Q12" i="17" s="1"/>
  <c r="D2" i="17" s="1"/>
  <c r="Q51" i="17" a="1"/>
  <c r="Q51" i="17" s="1"/>
  <c r="Q52" i="17" s="1" a="1"/>
  <c r="Q52" i="17" s="1"/>
  <c r="Q53" i="17" s="1" a="1"/>
  <c r="Q53" i="17" s="1"/>
  <c r="Q54" i="17" s="1" a="1"/>
  <c r="Q54" i="17" s="1"/>
  <c r="Q55" i="17" s="1" a="1"/>
  <c r="Q55" i="17" s="1"/>
  <c r="Q56" i="17" s="1" a="1"/>
  <c r="Q56" i="17" s="1"/>
  <c r="Q57" i="17" s="1" a="1"/>
  <c r="Q57" i="17" s="1"/>
  <c r="Q58" i="17" s="1" a="1"/>
  <c r="Q58" i="17" s="1"/>
  <c r="Q59" i="17" s="1" a="1"/>
  <c r="Q59" i="17" s="1"/>
  <c r="Q60" i="17" s="1" a="1"/>
  <c r="Q60" i="17" s="1"/>
  <c r="S51" i="17" a="1"/>
  <c r="S51" i="17" s="1"/>
  <c r="S52" i="17" s="1" a="1"/>
  <c r="S52" i="17" s="1"/>
  <c r="S53" i="17" s="1" a="1"/>
  <c r="S53" i="17" s="1"/>
  <c r="S54" i="17" s="1" a="1"/>
  <c r="S54" i="17" s="1"/>
  <c r="S55" i="17" s="1" a="1"/>
  <c r="S55" i="17" s="1"/>
  <c r="S56" i="17" s="1" a="1"/>
  <c r="S56" i="17" s="1"/>
  <c r="S57" i="17" s="1" a="1"/>
  <c r="S57" i="17" s="1"/>
  <c r="S58" i="17" s="1" a="1"/>
  <c r="S58" i="17" s="1"/>
  <c r="S59" i="17" s="1" a="1"/>
  <c r="S59" i="17" s="1"/>
  <c r="S60" i="17" s="1" a="1"/>
  <c r="S60" i="17" s="1"/>
  <c r="R25" i="17" a="1"/>
  <c r="R25" i="17" s="1"/>
  <c r="R26" i="17" s="1" a="1"/>
  <c r="R26" i="17" s="1"/>
  <c r="R37" i="17" a="1"/>
  <c r="R37" i="17" s="1"/>
  <c r="R38" i="17" s="1" a="1"/>
  <c r="R38" i="17" s="1"/>
  <c r="R97" i="17" a="1"/>
  <c r="R97" i="17" s="1"/>
  <c r="R98" i="17" s="1" a="1"/>
  <c r="R98" i="17" s="1"/>
  <c r="R73" i="17" a="1"/>
  <c r="R73" i="17" s="1"/>
  <c r="R74" i="17" s="1" a="1"/>
  <c r="R74" i="17" s="1"/>
  <c r="R49" i="17" a="1"/>
  <c r="R49" i="17" s="1"/>
  <c r="R50" i="17" s="1" a="1"/>
  <c r="R50" i="17" s="1"/>
  <c r="R109" i="17" a="1"/>
  <c r="R109" i="17" s="1"/>
  <c r="R110" i="17" s="1" a="1"/>
  <c r="R110" i="17" s="1"/>
  <c r="R121" i="17" a="1"/>
  <c r="R121" i="17" s="1"/>
  <c r="R85" i="17" a="1"/>
  <c r="R85" i="17" s="1"/>
  <c r="R86" i="17" s="1" a="1"/>
  <c r="R86" i="17" s="1"/>
  <c r="R13" i="17" a="1"/>
  <c r="R13" i="17" s="1"/>
  <c r="R14" i="17" s="1" a="1"/>
  <c r="R14" i="17" s="1"/>
  <c r="R61" i="17" a="1"/>
  <c r="R61" i="17" s="1"/>
  <c r="R62" i="17" s="1" a="1"/>
  <c r="R62" i="17" s="1"/>
  <c r="R2" i="17" a="1"/>
  <c r="R2" i="17" s="1"/>
  <c r="S99" i="17" a="1"/>
  <c r="S99" i="17" s="1"/>
  <c r="S100" i="17" s="1" a="1"/>
  <c r="S100" i="17" s="1"/>
  <c r="S101" i="17" s="1" a="1"/>
  <c r="S101" i="17" s="1"/>
  <c r="S102" i="17" s="1" a="1"/>
  <c r="S102" i="17" s="1"/>
  <c r="S103" i="17" s="1" a="1"/>
  <c r="S103" i="17" s="1"/>
  <c r="S104" i="17" s="1" a="1"/>
  <c r="S104" i="17" s="1"/>
  <c r="S105" i="17" s="1" a="1"/>
  <c r="S105" i="17" s="1"/>
  <c r="S106" i="17" s="1" a="1"/>
  <c r="S106" i="17" s="1"/>
  <c r="S107" i="17" s="1" a="1"/>
  <c r="S107" i="17" s="1"/>
  <c r="S108" i="17" s="1" a="1"/>
  <c r="S108" i="17" s="1"/>
  <c r="V86" i="17" a="1"/>
  <c r="V86" i="17" s="1"/>
  <c r="J85" i="35"/>
  <c r="Q50" i="39"/>
  <c r="Q98" i="39"/>
  <c r="V74" i="17" a="1"/>
  <c r="V74" i="17" s="1"/>
  <c r="J73" i="35"/>
  <c r="U63" i="17" a="1"/>
  <c r="U63" i="17" s="1"/>
  <c r="U64" i="17" s="1" a="1"/>
  <c r="U64" i="17" s="1"/>
  <c r="U65" i="17" s="1" a="1"/>
  <c r="U65" i="17" s="1"/>
  <c r="U66" i="17" s="1" a="1"/>
  <c r="U66" i="17" s="1"/>
  <c r="U67" i="17" s="1" a="1"/>
  <c r="U67" i="17" s="1"/>
  <c r="U68" i="17" s="1" a="1"/>
  <c r="U68" i="17" s="1"/>
  <c r="U69" i="17" s="1" a="1"/>
  <c r="U69" i="17" s="1"/>
  <c r="U70" i="17" s="1" a="1"/>
  <c r="U70" i="17" s="1"/>
  <c r="U71" i="17" s="1" a="1"/>
  <c r="U71" i="17" s="1"/>
  <c r="U72" i="17" s="1" a="1"/>
  <c r="U72" i="17" s="1"/>
  <c r="H4" i="17"/>
  <c r="C10" i="17"/>
  <c r="P63" i="17" a="1"/>
  <c r="P63" i="17" s="1"/>
  <c r="P64" i="17" s="1" a="1"/>
  <c r="P64" i="17" s="1"/>
  <c r="P65" i="17" s="1" a="1"/>
  <c r="P65" i="17" s="1"/>
  <c r="P66" i="17" s="1" a="1"/>
  <c r="P66" i="17" s="1"/>
  <c r="P67" i="17" s="1" a="1"/>
  <c r="P67" i="17" s="1"/>
  <c r="P68" i="17" s="1" a="1"/>
  <c r="P68" i="17" s="1"/>
  <c r="P69" i="17" s="1" a="1"/>
  <c r="P69" i="17" s="1"/>
  <c r="P70" i="17" s="1" a="1"/>
  <c r="P70" i="17" s="1"/>
  <c r="P71" i="17" s="1" a="1"/>
  <c r="P71" i="17" s="1"/>
  <c r="P72" i="17" s="1" a="1"/>
  <c r="P72" i="17" s="1"/>
  <c r="P39" i="17" a="1"/>
  <c r="P39" i="17" s="1"/>
  <c r="P40" i="17" s="1" a="1"/>
  <c r="P40" i="17" s="1"/>
  <c r="P41" i="17" s="1" a="1"/>
  <c r="P41" i="17" s="1"/>
  <c r="P42" i="17" s="1" a="1"/>
  <c r="P42" i="17" s="1"/>
  <c r="P43" i="17" s="1" a="1"/>
  <c r="P43" i="17" s="1"/>
  <c r="P44" i="17" s="1" a="1"/>
  <c r="P44" i="17" s="1"/>
  <c r="P45" i="17" s="1" a="1"/>
  <c r="P45" i="17" s="1"/>
  <c r="P46" i="17" s="1" a="1"/>
  <c r="P46" i="17" s="1"/>
  <c r="P47" i="17" s="1" a="1"/>
  <c r="P47" i="17" s="1"/>
  <c r="P48" i="17" s="1" a="1"/>
  <c r="P48" i="17" s="1"/>
  <c r="F11" i="17"/>
  <c r="S75" i="17" a="1"/>
  <c r="S75" i="17" s="1"/>
  <c r="S76" i="17" s="1" a="1"/>
  <c r="S76" i="17" s="1"/>
  <c r="S77" i="17" s="1" a="1"/>
  <c r="S77" i="17" s="1"/>
  <c r="S78" i="17" s="1" a="1"/>
  <c r="S78" i="17" s="1"/>
  <c r="S79" i="17" s="1" a="1"/>
  <c r="S79" i="17" s="1"/>
  <c r="S80" i="17" s="1" a="1"/>
  <c r="S80" i="17" s="1"/>
  <c r="S81" i="17" s="1" a="1"/>
  <c r="S81" i="17" s="1"/>
  <c r="S82" i="17" s="1" a="1"/>
  <c r="S82" i="17" s="1"/>
  <c r="S83" i="17" s="1" a="1"/>
  <c r="S83" i="17" s="1"/>
  <c r="S84" i="17" s="1" a="1"/>
  <c r="S84" i="17" s="1"/>
  <c r="T27" i="17" a="1"/>
  <c r="T27" i="17" s="1"/>
  <c r="T28" i="17" s="1" a="1"/>
  <c r="T28" i="17" s="1"/>
  <c r="T29" i="17" s="1" a="1"/>
  <c r="T29" i="17" s="1"/>
  <c r="T30" i="17" s="1" a="1"/>
  <c r="T30" i="17" s="1"/>
  <c r="T31" i="17" s="1" a="1"/>
  <c r="T31" i="17" s="1"/>
  <c r="T32" i="17" s="1" a="1"/>
  <c r="T32" i="17" s="1"/>
  <c r="T33" i="17" s="1" a="1"/>
  <c r="T33" i="17" s="1"/>
  <c r="T34" i="17" s="1" a="1"/>
  <c r="T34" i="17" s="1"/>
  <c r="T35" i="17" s="1" a="1"/>
  <c r="T35" i="17" s="1"/>
  <c r="T36" i="17" s="1" a="1"/>
  <c r="T36" i="17" s="1"/>
  <c r="Q75" i="17" a="1"/>
  <c r="Q75" i="17" s="1"/>
  <c r="Q76" i="17" s="1" a="1"/>
  <c r="Q76" i="17" s="1"/>
  <c r="Q77" i="17" s="1" a="1"/>
  <c r="Q77" i="17" s="1"/>
  <c r="Q78" i="17" s="1" a="1"/>
  <c r="Q78" i="17" s="1"/>
  <c r="Q79" i="17" s="1" a="1"/>
  <c r="Q79" i="17" s="1"/>
  <c r="Q80" i="17" s="1" a="1"/>
  <c r="Q80" i="17" s="1"/>
  <c r="Q81" i="17" s="1" a="1"/>
  <c r="Q81" i="17" s="1"/>
  <c r="Q82" i="17" s="1" a="1"/>
  <c r="Q82" i="17" s="1"/>
  <c r="Q83" i="17" s="1" a="1"/>
  <c r="Q83" i="17" s="1"/>
  <c r="Q84" i="17" s="1" a="1"/>
  <c r="Q84" i="17" s="1"/>
  <c r="D3" i="17"/>
  <c r="S3" i="17" a="1"/>
  <c r="S3" i="17" s="1"/>
  <c r="S4" i="17" s="1" a="1"/>
  <c r="S4" i="17" s="1"/>
  <c r="S5" i="17" s="1" a="1"/>
  <c r="S5" i="17" s="1"/>
  <c r="S6" i="17" s="1" a="1"/>
  <c r="S6" i="17" s="1"/>
  <c r="S7" i="17" s="1" a="1"/>
  <c r="S7" i="17" s="1"/>
  <c r="S8" i="17" s="1" a="1"/>
  <c r="S8" i="17" s="1"/>
  <c r="S9" i="17" s="1" a="1"/>
  <c r="S9" i="17" s="1"/>
  <c r="S10" i="17" s="1" a="1"/>
  <c r="S10" i="17" s="1"/>
  <c r="S11" i="17" s="1" a="1"/>
  <c r="S11" i="17" s="1"/>
  <c r="S12" i="17" s="1" a="1"/>
  <c r="S12" i="17" s="1"/>
  <c r="Q62" i="39"/>
  <c r="Q110" i="39"/>
  <c r="V26" i="17" a="1"/>
  <c r="V26" i="17" s="1"/>
  <c r="J25" i="35"/>
  <c r="Q122" i="39"/>
  <c r="U99" i="17" a="1"/>
  <c r="U99" i="17" s="1"/>
  <c r="U100" i="17" s="1" a="1"/>
  <c r="U100" i="17" s="1"/>
  <c r="U101" i="17" s="1" a="1"/>
  <c r="U101" i="17" s="1"/>
  <c r="U102" i="17" s="1" a="1"/>
  <c r="U102" i="17" s="1"/>
  <c r="U103" i="17" s="1" a="1"/>
  <c r="U103" i="17" s="1"/>
  <c r="U104" i="17" s="1" a="1"/>
  <c r="U104" i="17" s="1"/>
  <c r="U105" i="17" s="1" a="1"/>
  <c r="U105" i="17" s="1"/>
  <c r="U106" i="17" s="1" a="1"/>
  <c r="U106" i="17" s="1"/>
  <c r="U107" i="17" s="1" a="1"/>
  <c r="U107" i="17" s="1"/>
  <c r="U108" i="17" s="1" a="1"/>
  <c r="U108" i="17" s="1"/>
  <c r="U3" i="17" a="1"/>
  <c r="U3" i="17" s="1"/>
  <c r="U4" i="17" s="1" a="1"/>
  <c r="U4" i="17" s="1"/>
  <c r="U5" i="17" s="1" a="1"/>
  <c r="U5" i="17" s="1"/>
  <c r="U6" i="17" s="1" a="1"/>
  <c r="U6" i="17" s="1"/>
  <c r="U7" i="17" s="1" a="1"/>
  <c r="U7" i="17" s="1"/>
  <c r="U8" i="17" s="1" a="1"/>
  <c r="U8" i="17" s="1"/>
  <c r="U9" i="17" s="1" a="1"/>
  <c r="U9" i="17" s="1"/>
  <c r="U10" i="17" s="1" a="1"/>
  <c r="U10" i="17" s="1"/>
  <c r="U11" i="17" s="1" a="1"/>
  <c r="U11" i="17" s="1"/>
  <c r="U12" i="17" s="1" a="1"/>
  <c r="U12" i="17" s="1"/>
  <c r="C2" i="17"/>
  <c r="P51" i="17" a="1"/>
  <c r="P51" i="17" s="1"/>
  <c r="P52" i="17" s="1" a="1"/>
  <c r="P52" i="17" s="1"/>
  <c r="P53" i="17" s="1" a="1"/>
  <c r="P53" i="17" s="1"/>
  <c r="P54" i="17" s="1" a="1"/>
  <c r="P54" i="17" s="1"/>
  <c r="P55" i="17" s="1" a="1"/>
  <c r="P55" i="17" s="1"/>
  <c r="P56" i="17" s="1" a="1"/>
  <c r="P56" i="17" s="1"/>
  <c r="P57" i="17" s="1" a="1"/>
  <c r="P57" i="17" s="1"/>
  <c r="P58" i="17" s="1" a="1"/>
  <c r="P58" i="17" s="1"/>
  <c r="P59" i="17" s="1" a="1"/>
  <c r="P59" i="17" s="1"/>
  <c r="P60" i="17" s="1" a="1"/>
  <c r="P60" i="17" s="1"/>
  <c r="P27" i="17" a="1"/>
  <c r="P27" i="17" s="1"/>
  <c r="P28" i="17" s="1" a="1"/>
  <c r="P28" i="17" s="1"/>
  <c r="P29" i="17" s="1" a="1"/>
  <c r="P29" i="17" s="1"/>
  <c r="P30" i="17" s="1" a="1"/>
  <c r="P30" i="17" s="1"/>
  <c r="P31" i="17" s="1" a="1"/>
  <c r="P31" i="17" s="1"/>
  <c r="P32" i="17" s="1" a="1"/>
  <c r="P32" i="17" s="1"/>
  <c r="P33" i="17" s="1" a="1"/>
  <c r="P33" i="17" s="1"/>
  <c r="P34" i="17" s="1" a="1"/>
  <c r="P34" i="17" s="1"/>
  <c r="P35" i="17" s="1" a="1"/>
  <c r="P35" i="17" s="1"/>
  <c r="P36" i="17" s="1" a="1"/>
  <c r="P36" i="17" s="1"/>
  <c r="G55" i="11"/>
  <c r="B55" i="11"/>
  <c r="D55" i="11"/>
  <c r="C55" i="11"/>
  <c r="F55" i="11"/>
  <c r="I31" i="44" l="1"/>
  <c r="O86" i="17" a="1"/>
  <c r="O86" i="17" s="1"/>
  <c r="BF86" i="35" s="1"/>
  <c r="BF85" i="35"/>
  <c r="O62" i="17" a="1"/>
  <c r="O62" i="17" s="1"/>
  <c r="BF62" i="35" s="1"/>
  <c r="BF61" i="35"/>
  <c r="J31" i="44"/>
  <c r="O98" i="17" a="1"/>
  <c r="O98" i="17" s="1"/>
  <c r="BF98" i="35" s="1"/>
  <c r="BF97" i="35"/>
  <c r="O74" i="17" a="1"/>
  <c r="O74" i="17" s="1"/>
  <c r="BF74" i="35" s="1"/>
  <c r="BF73" i="35"/>
  <c r="O50" i="17" a="1"/>
  <c r="O50" i="17" s="1"/>
  <c r="BF50" i="35" s="1"/>
  <c r="BF49" i="35"/>
  <c r="O38" i="17" a="1"/>
  <c r="O38" i="17" s="1"/>
  <c r="BF38" i="35" s="1"/>
  <c r="BF37" i="35"/>
  <c r="O26" i="17" a="1"/>
  <c r="O26" i="17" s="1"/>
  <c r="BF26" i="35" s="1"/>
  <c r="BF25" i="35"/>
  <c r="O110" i="17" a="1"/>
  <c r="O110" i="17" s="1"/>
  <c r="BF110" i="35" s="1"/>
  <c r="BF109" i="35"/>
  <c r="K15" i="35"/>
  <c r="BG14" i="35"/>
  <c r="N15" i="39"/>
  <c r="P15" i="43"/>
  <c r="K4" i="35"/>
  <c r="BG3" i="35"/>
  <c r="N4" i="39"/>
  <c r="P4" i="43"/>
  <c r="C20" i="11"/>
  <c r="J24" i="44"/>
  <c r="J61" i="44"/>
  <c r="J89" i="44" s="1"/>
  <c r="B20" i="11"/>
  <c r="J23" i="44"/>
  <c r="J53" i="44" s="1"/>
  <c r="J81" i="44" s="1"/>
  <c r="B34" i="11"/>
  <c r="M23" i="44"/>
  <c r="M53" i="44" s="1"/>
  <c r="M81" i="44" s="1"/>
  <c r="B16" i="11"/>
  <c r="I23" i="44"/>
  <c r="I53" i="44" s="1"/>
  <c r="I81" i="44" s="1"/>
  <c r="D39" i="11"/>
  <c r="N25" i="44"/>
  <c r="K30" i="11"/>
  <c r="L32" i="44"/>
  <c r="F12" i="17"/>
  <c r="H16" i="11"/>
  <c r="I29" i="44"/>
  <c r="I61" i="44"/>
  <c r="I89" i="44" s="1"/>
  <c r="H11" i="17"/>
  <c r="J20" i="11"/>
  <c r="F8" i="17"/>
  <c r="F5" i="17"/>
  <c r="J16" i="11"/>
  <c r="D4" i="17"/>
  <c r="H10" i="17"/>
  <c r="D8" i="17"/>
  <c r="C7" i="17"/>
  <c r="I28" i="9" s="1"/>
  <c r="H7" i="17"/>
  <c r="C9" i="17"/>
  <c r="D9" i="17"/>
  <c r="H3" i="17"/>
  <c r="F3" i="17"/>
  <c r="F7" i="17"/>
  <c r="G8" i="17"/>
  <c r="C4" i="17"/>
  <c r="H2" i="17"/>
  <c r="C5" i="17"/>
  <c r="F10" i="17"/>
  <c r="F6" i="17"/>
  <c r="H5" i="17"/>
  <c r="F4" i="17"/>
  <c r="H9" i="17"/>
  <c r="D11" i="17"/>
  <c r="I23" i="9"/>
  <c r="N25" i="9"/>
  <c r="V75" i="17" a="1"/>
  <c r="V75" i="17" s="1"/>
  <c r="J74" i="35"/>
  <c r="R3" i="17" a="1"/>
  <c r="R3" i="17" s="1"/>
  <c r="R4" i="17" s="1" a="1"/>
  <c r="R4" i="17" s="1"/>
  <c r="R5" i="17" s="1" a="1"/>
  <c r="R5" i="17" s="1"/>
  <c r="R6" i="17" s="1" a="1"/>
  <c r="R6" i="17" s="1"/>
  <c r="R7" i="17" s="1" a="1"/>
  <c r="R7" i="17" s="1"/>
  <c r="R8" i="17" s="1" a="1"/>
  <c r="R8" i="17" s="1"/>
  <c r="R9" i="17" s="1" a="1"/>
  <c r="R9" i="17" s="1"/>
  <c r="R10" i="17" s="1" a="1"/>
  <c r="R10" i="17" s="1"/>
  <c r="R11" i="17" s="1" a="1"/>
  <c r="R11" i="17" s="1"/>
  <c r="R12" i="17" s="1" a="1"/>
  <c r="R12" i="17" s="1"/>
  <c r="R87" i="17" a="1"/>
  <c r="R87" i="17" s="1"/>
  <c r="R88" i="17" s="1" a="1"/>
  <c r="R88" i="17" s="1"/>
  <c r="R89" i="17" s="1" a="1"/>
  <c r="R89" i="17" s="1"/>
  <c r="R90" i="17" s="1" a="1"/>
  <c r="R90" i="17" s="1"/>
  <c r="R91" i="17" s="1" a="1"/>
  <c r="R91" i="17" s="1"/>
  <c r="R92" i="17" s="1" a="1"/>
  <c r="R92" i="17" s="1"/>
  <c r="R93" i="17" s="1" a="1"/>
  <c r="R93" i="17" s="1"/>
  <c r="R94" i="17" s="1" a="1"/>
  <c r="R94" i="17" s="1"/>
  <c r="R95" i="17" s="1" a="1"/>
  <c r="R95" i="17" s="1"/>
  <c r="R96" i="17" s="1" a="1"/>
  <c r="R96" i="17" s="1"/>
  <c r="R75" i="17" a="1"/>
  <c r="R75" i="17" s="1"/>
  <c r="R76" i="17" s="1" a="1"/>
  <c r="R76" i="17" s="1"/>
  <c r="R77" i="17" s="1" a="1"/>
  <c r="R77" i="17" s="1"/>
  <c r="R78" i="17" s="1" a="1"/>
  <c r="R78" i="17" s="1"/>
  <c r="R79" i="17" s="1" a="1"/>
  <c r="R79" i="17" s="1"/>
  <c r="R80" i="17" s="1" a="1"/>
  <c r="R80" i="17" s="1"/>
  <c r="R81" i="17" s="1" a="1"/>
  <c r="R81" i="17" s="1"/>
  <c r="R82" i="17" s="1" a="1"/>
  <c r="R82" i="17" s="1"/>
  <c r="R83" i="17" s="1" a="1"/>
  <c r="R83" i="17" s="1"/>
  <c r="R84" i="17" s="1" a="1"/>
  <c r="R84" i="17" s="1"/>
  <c r="J23" i="9"/>
  <c r="V63" i="17" a="1"/>
  <c r="V63" i="17" s="1"/>
  <c r="J62" i="35"/>
  <c r="V4" i="17" a="1"/>
  <c r="V4" i="17" s="1"/>
  <c r="J3" i="35"/>
  <c r="I29" i="9"/>
  <c r="O87" i="17" a="1"/>
  <c r="O87" i="17" s="1"/>
  <c r="O3" i="17" a="1"/>
  <c r="O3" i="17" s="1"/>
  <c r="V99" i="17" a="1"/>
  <c r="V99" i="17" s="1"/>
  <c r="J98" i="35"/>
  <c r="M23" i="9"/>
  <c r="V27" i="17" a="1"/>
  <c r="V27" i="17" s="1"/>
  <c r="J26" i="35"/>
  <c r="R122" i="39"/>
  <c r="R110" i="39"/>
  <c r="R98" i="39"/>
  <c r="Q86" i="39"/>
  <c r="R111" i="17" a="1"/>
  <c r="R111" i="17" s="1"/>
  <c r="R112" i="17" s="1" a="1"/>
  <c r="R112" i="17" s="1"/>
  <c r="R113" i="17" s="1" a="1"/>
  <c r="R113" i="17" s="1"/>
  <c r="R114" i="17" s="1" a="1"/>
  <c r="R114" i="17" s="1"/>
  <c r="R115" i="17" s="1" a="1"/>
  <c r="R115" i="17" s="1"/>
  <c r="R116" i="17" s="1" a="1"/>
  <c r="R116" i="17" s="1"/>
  <c r="R117" i="17" s="1" a="1"/>
  <c r="R117" i="17" s="1"/>
  <c r="R118" i="17" s="1" a="1"/>
  <c r="R118" i="17" s="1"/>
  <c r="R119" i="17" s="1" a="1"/>
  <c r="R119" i="17" s="1"/>
  <c r="R120" i="17" s="1" a="1"/>
  <c r="R120" i="17" s="1"/>
  <c r="R99" i="17" a="1"/>
  <c r="R99" i="17" s="1"/>
  <c r="R100" i="17" s="1" a="1"/>
  <c r="R100" i="17" s="1"/>
  <c r="R101" i="17" s="1" a="1"/>
  <c r="R101" i="17" s="1"/>
  <c r="R102" i="17" s="1" a="1"/>
  <c r="R102" i="17" s="1"/>
  <c r="R103" i="17" s="1" a="1"/>
  <c r="R103" i="17" s="1"/>
  <c r="R104" i="17" s="1" a="1"/>
  <c r="R104" i="17" s="1"/>
  <c r="R105" i="17" s="1" a="1"/>
  <c r="R105" i="17" s="1"/>
  <c r="R106" i="17" s="1" a="1"/>
  <c r="R106" i="17" s="1"/>
  <c r="R107" i="17" s="1" a="1"/>
  <c r="R107" i="17" s="1"/>
  <c r="R108" i="17" s="1" a="1"/>
  <c r="R108" i="17" s="1"/>
  <c r="F9" i="17"/>
  <c r="D7" i="17"/>
  <c r="G9" i="17"/>
  <c r="C3" i="17"/>
  <c r="O99" i="17" a="1"/>
  <c r="O99" i="17" s="1"/>
  <c r="V51" i="17" a="1"/>
  <c r="V51" i="17" s="1"/>
  <c r="J50" i="35"/>
  <c r="H6" i="17"/>
  <c r="Q26" i="39"/>
  <c r="R62" i="39"/>
  <c r="I26" i="9"/>
  <c r="C6" i="17"/>
  <c r="F2" i="17"/>
  <c r="G4" i="17"/>
  <c r="L32" i="9"/>
  <c r="V87" i="17" a="1"/>
  <c r="V87" i="17" s="1"/>
  <c r="J86" i="35"/>
  <c r="R63" i="17" a="1"/>
  <c r="R63" i="17" s="1"/>
  <c r="R64" i="17" s="1" a="1"/>
  <c r="R64" i="17" s="1"/>
  <c r="R65" i="17" s="1" a="1"/>
  <c r="R65" i="17" s="1"/>
  <c r="R66" i="17" s="1" a="1"/>
  <c r="R66" i="17" s="1"/>
  <c r="R67" i="17" s="1" a="1"/>
  <c r="R67" i="17" s="1"/>
  <c r="R68" i="17" s="1" a="1"/>
  <c r="R68" i="17" s="1"/>
  <c r="R69" i="17" s="1" a="1"/>
  <c r="R69" i="17" s="1"/>
  <c r="R70" i="17" s="1" a="1"/>
  <c r="R70" i="17" s="1"/>
  <c r="R71" i="17" s="1" a="1"/>
  <c r="R71" i="17" s="1"/>
  <c r="R72" i="17" s="1" a="1"/>
  <c r="R72" i="17" s="1"/>
  <c r="R39" i="17" a="1"/>
  <c r="R39" i="17" s="1"/>
  <c r="R40" i="17" s="1" a="1"/>
  <c r="R40" i="17" s="1"/>
  <c r="R41" i="17" s="1" a="1"/>
  <c r="R41" i="17" s="1"/>
  <c r="R42" i="17" s="1" a="1"/>
  <c r="R42" i="17" s="1"/>
  <c r="R43" i="17" s="1" a="1"/>
  <c r="R43" i="17" s="1"/>
  <c r="R44" i="17" s="1" a="1"/>
  <c r="R44" i="17" s="1"/>
  <c r="R45" i="17" s="1" a="1"/>
  <c r="R45" i="17" s="1"/>
  <c r="R46" i="17" s="1" a="1"/>
  <c r="R46" i="17" s="1"/>
  <c r="R47" i="17" s="1" a="1"/>
  <c r="R47" i="17" s="1"/>
  <c r="R48" i="17" s="1" a="1"/>
  <c r="R48" i="17" s="1"/>
  <c r="D6" i="17"/>
  <c r="G5" i="17"/>
  <c r="C11" i="17"/>
  <c r="H8" i="17"/>
  <c r="Q38" i="39"/>
  <c r="V15" i="17" a="1"/>
  <c r="V15" i="17" s="1"/>
  <c r="J14" i="35"/>
  <c r="G7" i="17"/>
  <c r="G11" i="17"/>
  <c r="O39" i="17" a="1"/>
  <c r="O39" i="17" s="1"/>
  <c r="V111" i="17" a="1"/>
  <c r="V111" i="17" s="1"/>
  <c r="J110" i="35"/>
  <c r="D5" i="17"/>
  <c r="G6" i="17"/>
  <c r="G10" i="17"/>
  <c r="G3" i="17"/>
  <c r="J24" i="9"/>
  <c r="D18" i="17"/>
  <c r="I31" i="9"/>
  <c r="Q74" i="39"/>
  <c r="R50" i="39"/>
  <c r="R15" i="17" a="1"/>
  <c r="R15" i="17" s="1"/>
  <c r="R16" i="17" s="1" a="1"/>
  <c r="R16" i="17" s="1"/>
  <c r="R17" i="17" s="1" a="1"/>
  <c r="R17" i="17" s="1"/>
  <c r="R18" i="17" s="1" a="1"/>
  <c r="R18" i="17" s="1"/>
  <c r="R19" i="17" s="1" a="1"/>
  <c r="R19" i="17" s="1"/>
  <c r="R20" i="17" s="1" a="1"/>
  <c r="R20" i="17" s="1"/>
  <c r="R21" i="17" s="1" a="1"/>
  <c r="R21" i="17" s="1"/>
  <c r="R22" i="17" s="1" a="1"/>
  <c r="R22" i="17" s="1"/>
  <c r="R23" i="17" s="1" a="1"/>
  <c r="R23" i="17" s="1"/>
  <c r="R24" i="17" s="1" a="1"/>
  <c r="R24" i="17" s="1"/>
  <c r="R51" i="17" a="1"/>
  <c r="R51" i="17" s="1"/>
  <c r="R52" i="17" s="1" a="1"/>
  <c r="R52" i="17" s="1"/>
  <c r="R53" i="17" s="1" a="1"/>
  <c r="R53" i="17" s="1"/>
  <c r="R54" i="17" s="1" a="1"/>
  <c r="R54" i="17" s="1"/>
  <c r="R55" i="17" s="1" a="1"/>
  <c r="R55" i="17" s="1"/>
  <c r="R56" i="17" s="1" a="1"/>
  <c r="R56" i="17" s="1"/>
  <c r="R57" i="17" s="1" a="1"/>
  <c r="R57" i="17" s="1"/>
  <c r="R58" i="17" s="1" a="1"/>
  <c r="R58" i="17" s="1"/>
  <c r="R59" i="17" s="1" a="1"/>
  <c r="R59" i="17" s="1"/>
  <c r="R60" i="17" s="1" a="1"/>
  <c r="R60" i="17" s="1"/>
  <c r="R27" i="17" a="1"/>
  <c r="R27" i="17" s="1"/>
  <c r="R28" i="17" s="1" a="1"/>
  <c r="R28" i="17" s="1"/>
  <c r="R29" i="17" s="1" a="1"/>
  <c r="R29" i="17" s="1"/>
  <c r="R30" i="17" s="1" a="1"/>
  <c r="R30" i="17" s="1"/>
  <c r="R31" i="17" s="1" a="1"/>
  <c r="R31" i="17" s="1"/>
  <c r="R32" i="17" s="1" a="1"/>
  <c r="R32" i="17" s="1"/>
  <c r="R33" i="17" s="1" a="1"/>
  <c r="R33" i="17" s="1"/>
  <c r="R34" i="17" s="1" a="1"/>
  <c r="R34" i="17" s="1"/>
  <c r="R35" i="17" s="1" a="1"/>
  <c r="R35" i="17" s="1"/>
  <c r="R36" i="17" s="1" a="1"/>
  <c r="R36" i="17" s="1"/>
  <c r="V39" i="17" a="1"/>
  <c r="V39" i="17" s="1"/>
  <c r="J38" i="35"/>
  <c r="L25" i="9"/>
  <c r="O15" i="17" a="1"/>
  <c r="O15" i="17" s="1"/>
  <c r="O111" i="17" a="1"/>
  <c r="O111" i="17" s="1"/>
  <c r="J31" i="9"/>
  <c r="O51" i="17" l="1" a="1"/>
  <c r="O51" i="17" s="1"/>
  <c r="L27" i="9"/>
  <c r="O27" i="17" a="1"/>
  <c r="O27" i="17" s="1"/>
  <c r="BF27" i="35" s="1"/>
  <c r="L23" i="44"/>
  <c r="L53" i="44" s="1"/>
  <c r="L81" i="44" s="1"/>
  <c r="O100" i="17" a="1"/>
  <c r="O100" i="17" s="1"/>
  <c r="BF99" i="35"/>
  <c r="O28" i="17" a="1"/>
  <c r="O28" i="17" s="1"/>
  <c r="N28" i="9"/>
  <c r="O112" i="17" a="1"/>
  <c r="O112" i="17" s="1"/>
  <c r="BF111" i="35"/>
  <c r="O52" i="17" a="1"/>
  <c r="O52" i="17" s="1"/>
  <c r="BF51" i="35"/>
  <c r="O63" i="17" a="1"/>
  <c r="O63" i="17" s="1"/>
  <c r="N30" i="9"/>
  <c r="L31" i="44"/>
  <c r="M29" i="9"/>
  <c r="D24" i="17"/>
  <c r="J29" i="9"/>
  <c r="L26" i="9"/>
  <c r="M31" i="44"/>
  <c r="L30" i="44"/>
  <c r="O16" i="17" a="1"/>
  <c r="O16" i="17" s="1"/>
  <c r="BF15" i="35"/>
  <c r="M28" i="44"/>
  <c r="O75" i="17" a="1"/>
  <c r="O75" i="17" s="1"/>
  <c r="J28" i="44"/>
  <c r="O4" i="17" a="1"/>
  <c r="O4" i="17" s="1"/>
  <c r="BF3" i="35"/>
  <c r="N31" i="44"/>
  <c r="N29" i="44"/>
  <c r="N59" i="44" s="1"/>
  <c r="O88" i="17" a="1"/>
  <c r="O88" i="17" s="1"/>
  <c r="BF87" i="35"/>
  <c r="N26" i="9"/>
  <c r="J25" i="9"/>
  <c r="O40" i="17" a="1"/>
  <c r="O40" i="17" s="1"/>
  <c r="BF39" i="35"/>
  <c r="I27" i="44"/>
  <c r="I57" i="44" s="1"/>
  <c r="I85" i="44" s="1"/>
  <c r="D26" i="17"/>
  <c r="N24" i="9"/>
  <c r="C23" i="17"/>
  <c r="K5" i="35"/>
  <c r="BG4" i="35"/>
  <c r="P5" i="43"/>
  <c r="N5" i="39"/>
  <c r="K16" i="35"/>
  <c r="BG15" i="35"/>
  <c r="P16" i="43"/>
  <c r="N16" i="39"/>
  <c r="I25" i="9"/>
  <c r="J32" i="9"/>
  <c r="N32" i="9"/>
  <c r="N32" i="44"/>
  <c r="N46" i="44" s="1"/>
  <c r="J30" i="9"/>
  <c r="F20" i="17"/>
  <c r="D25" i="17"/>
  <c r="L31" i="9"/>
  <c r="F26" i="17"/>
  <c r="F21" i="17"/>
  <c r="H19" i="17"/>
  <c r="D19" i="17"/>
  <c r="C34" i="11"/>
  <c r="M24" i="44"/>
  <c r="F20" i="11"/>
  <c r="J27" i="44"/>
  <c r="J58" i="44"/>
  <c r="J86" i="44" s="1"/>
  <c r="G30" i="11"/>
  <c r="L28" i="44"/>
  <c r="I16" i="11"/>
  <c r="I30" i="44"/>
  <c r="D34" i="11"/>
  <c r="M25" i="44"/>
  <c r="H25" i="17"/>
  <c r="L60" i="44"/>
  <c r="L88" i="44" s="1"/>
  <c r="H26" i="17"/>
  <c r="E39" i="11"/>
  <c r="N26" i="44"/>
  <c r="B39" i="11"/>
  <c r="N23" i="44"/>
  <c r="N53" i="44" s="1"/>
  <c r="C30" i="11"/>
  <c r="L24" i="44"/>
  <c r="G39" i="11"/>
  <c r="N28" i="44"/>
  <c r="D20" i="11"/>
  <c r="J25" i="44"/>
  <c r="I59" i="44"/>
  <c r="I87" i="44" s="1"/>
  <c r="M58" i="44"/>
  <c r="M86" i="44" s="1"/>
  <c r="D30" i="11"/>
  <c r="L25" i="44"/>
  <c r="N61" i="44"/>
  <c r="N55" i="44"/>
  <c r="L28" i="9"/>
  <c r="F34" i="11"/>
  <c r="M27" i="44"/>
  <c r="K16" i="11"/>
  <c r="I32" i="44"/>
  <c r="I62" i="44" s="1"/>
  <c r="I90" i="44" s="1"/>
  <c r="C16" i="11"/>
  <c r="I24" i="44"/>
  <c r="C24" i="17"/>
  <c r="K20" i="11"/>
  <c r="J32" i="44"/>
  <c r="J62" i="44" s="1"/>
  <c r="J90" i="44" s="1"/>
  <c r="F30" i="11"/>
  <c r="L27" i="44"/>
  <c r="D16" i="11"/>
  <c r="I25" i="44"/>
  <c r="C39" i="11"/>
  <c r="N24" i="44"/>
  <c r="N39" i="44" s="1"/>
  <c r="G16" i="11"/>
  <c r="I28" i="44"/>
  <c r="I43" i="44" s="1"/>
  <c r="K39" i="11"/>
  <c r="H12" i="17"/>
  <c r="L33" i="44"/>
  <c r="L62" i="44"/>
  <c r="L90" i="44" s="1"/>
  <c r="L46" i="44"/>
  <c r="J54" i="44"/>
  <c r="J82" i="44" s="1"/>
  <c r="J38" i="44"/>
  <c r="E16" i="11"/>
  <c r="I26" i="44"/>
  <c r="H30" i="11"/>
  <c r="L29" i="44"/>
  <c r="M61" i="44"/>
  <c r="M89" i="44" s="1"/>
  <c r="F22" i="17"/>
  <c r="F19" i="17"/>
  <c r="C25" i="17"/>
  <c r="E20" i="11"/>
  <c r="J26" i="44"/>
  <c r="K34" i="11"/>
  <c r="G12" i="17"/>
  <c r="M32" i="44"/>
  <c r="E34" i="11"/>
  <c r="M26" i="44"/>
  <c r="C20" i="17"/>
  <c r="F39" i="11"/>
  <c r="N27" i="44"/>
  <c r="I34" i="11"/>
  <c r="M30" i="44"/>
  <c r="I30" i="9"/>
  <c r="L29" i="9"/>
  <c r="I39" i="11"/>
  <c r="N30" i="44"/>
  <c r="N45" i="44" s="1"/>
  <c r="L61" i="44"/>
  <c r="L89" i="44" s="1"/>
  <c r="L45" i="44"/>
  <c r="H34" i="11"/>
  <c r="M29" i="44"/>
  <c r="I20" i="11"/>
  <c r="J30" i="44"/>
  <c r="H20" i="11"/>
  <c r="J29" i="44"/>
  <c r="E30" i="11"/>
  <c r="L26" i="44"/>
  <c r="C19" i="17"/>
  <c r="J34" i="11"/>
  <c r="G23" i="17"/>
  <c r="G34" i="11"/>
  <c r="H18" i="17"/>
  <c r="N23" i="9"/>
  <c r="L24" i="9"/>
  <c r="H20" i="17"/>
  <c r="J39" i="11"/>
  <c r="F18" i="17"/>
  <c r="B30" i="11"/>
  <c r="D23" i="17"/>
  <c r="G20" i="11"/>
  <c r="F23" i="17"/>
  <c r="H24" i="17"/>
  <c r="H39" i="11"/>
  <c r="C22" i="17"/>
  <c r="F16" i="11"/>
  <c r="F25" i="17"/>
  <c r="I30" i="11"/>
  <c r="J30" i="11"/>
  <c r="E9" i="17"/>
  <c r="R74" i="39"/>
  <c r="V112" i="17" a="1"/>
  <c r="V112" i="17" s="1"/>
  <c r="J111" i="35"/>
  <c r="M30" i="9"/>
  <c r="G24" i="17"/>
  <c r="M31" i="9"/>
  <c r="G25" i="17"/>
  <c r="M28" i="9"/>
  <c r="G22" i="17"/>
  <c r="J27" i="9"/>
  <c r="D21" i="17"/>
  <c r="M25" i="9"/>
  <c r="G19" i="17"/>
  <c r="V52" i="17" a="1"/>
  <c r="V52" i="17" s="1"/>
  <c r="J51" i="35"/>
  <c r="E6" i="17"/>
  <c r="M27" i="9"/>
  <c r="G21" i="17"/>
  <c r="N29" i="9"/>
  <c r="H23" i="17"/>
  <c r="E5" i="17"/>
  <c r="L23" i="9"/>
  <c r="R26" i="39"/>
  <c r="J28" i="9"/>
  <c r="D22" i="17"/>
  <c r="E10" i="17"/>
  <c r="R86" i="39"/>
  <c r="V5" i="17" a="1"/>
  <c r="V5" i="17" s="1"/>
  <c r="J4" i="35"/>
  <c r="E8" i="17"/>
  <c r="E2" i="17"/>
  <c r="V16" i="17" a="1"/>
  <c r="V16" i="17" s="1"/>
  <c r="J15" i="35"/>
  <c r="I32" i="9"/>
  <c r="C26" i="17"/>
  <c r="I27" i="9"/>
  <c r="C21" i="17"/>
  <c r="N27" i="9"/>
  <c r="H21" i="17"/>
  <c r="L30" i="9"/>
  <c r="F24" i="17"/>
  <c r="H22" i="17"/>
  <c r="V28" i="17" a="1"/>
  <c r="V28" i="17" s="1"/>
  <c r="J27" i="35"/>
  <c r="V100" i="17" a="1"/>
  <c r="V100" i="17" s="1"/>
  <c r="J99" i="35"/>
  <c r="V76" i="17" a="1"/>
  <c r="V76" i="17" s="1"/>
  <c r="J75" i="35"/>
  <c r="V40" i="17" a="1"/>
  <c r="V40" i="17" s="1"/>
  <c r="J39" i="35"/>
  <c r="D20" i="17"/>
  <c r="J26" i="9"/>
  <c r="V88" i="17" a="1"/>
  <c r="V88" i="17" s="1"/>
  <c r="J87" i="35"/>
  <c r="Q3" i="39"/>
  <c r="E4" i="17"/>
  <c r="E3" i="17"/>
  <c r="M24" i="9"/>
  <c r="G18" i="17"/>
  <c r="M32" i="9"/>
  <c r="G26" i="17"/>
  <c r="R38" i="39"/>
  <c r="M26" i="9"/>
  <c r="G20" i="17"/>
  <c r="E7" i="17"/>
  <c r="I24" i="9"/>
  <c r="C18" i="17"/>
  <c r="Q14" i="39"/>
  <c r="E11" i="17"/>
  <c r="V64" i="17" a="1"/>
  <c r="V64" i="17" s="1"/>
  <c r="J63" i="35"/>
  <c r="I41" i="44" l="1"/>
  <c r="K17" i="35"/>
  <c r="BG16" i="35"/>
  <c r="N17" i="39"/>
  <c r="P17" i="43"/>
  <c r="K6" i="35"/>
  <c r="BG5" i="35"/>
  <c r="N6" i="39"/>
  <c r="P6" i="43"/>
  <c r="O5" i="17" a="1"/>
  <c r="O5" i="17" s="1"/>
  <c r="BF4" i="35"/>
  <c r="O41" i="17" a="1"/>
  <c r="O41" i="17" s="1"/>
  <c r="BF40" i="35"/>
  <c r="O89" i="17" a="1"/>
  <c r="O89" i="17" s="1"/>
  <c r="BF88" i="35"/>
  <c r="O29" i="17" a="1"/>
  <c r="O29" i="17" s="1"/>
  <c r="BF28" i="35"/>
  <c r="O64" i="17" a="1"/>
  <c r="O64" i="17" s="1"/>
  <c r="BF63" i="35"/>
  <c r="K31" i="44"/>
  <c r="O76" i="17" a="1"/>
  <c r="O76" i="17" s="1"/>
  <c r="BF75" i="35"/>
  <c r="O17" i="17" a="1"/>
  <c r="O17" i="17" s="1"/>
  <c r="BF16" i="35"/>
  <c r="O53" i="17" a="1"/>
  <c r="O53" i="17" s="1"/>
  <c r="BF52" i="35"/>
  <c r="O113" i="17" a="1"/>
  <c r="O113" i="17" s="1"/>
  <c r="BF112" i="35"/>
  <c r="O101" i="17" a="1"/>
  <c r="O101" i="17" s="1"/>
  <c r="BF100" i="35"/>
  <c r="N34" i="44"/>
  <c r="N43" i="44"/>
  <c r="Q4" i="39"/>
  <c r="R4" i="39" s="1"/>
  <c r="F30" i="17"/>
  <c r="H30" i="17"/>
  <c r="D30" i="17"/>
  <c r="I25" i="11"/>
  <c r="K30" i="44"/>
  <c r="M59" i="44"/>
  <c r="M87" i="44" s="1"/>
  <c r="M43" i="44"/>
  <c r="M60" i="44"/>
  <c r="M88" i="44" s="1"/>
  <c r="M44" i="44"/>
  <c r="N57" i="44"/>
  <c r="N41" i="44"/>
  <c r="J56" i="44"/>
  <c r="J84" i="44" s="1"/>
  <c r="J40" i="44"/>
  <c r="C25" i="11"/>
  <c r="K24" i="44"/>
  <c r="B25" i="11"/>
  <c r="K23" i="44"/>
  <c r="K53" i="44" s="1"/>
  <c r="K81" i="44" s="1"/>
  <c r="K61" i="44"/>
  <c r="K89" i="44" s="1"/>
  <c r="E25" i="11"/>
  <c r="K26" i="44"/>
  <c r="M33" i="44"/>
  <c r="M62" i="44"/>
  <c r="M90" i="44" s="1"/>
  <c r="M46" i="44"/>
  <c r="N87" i="44"/>
  <c r="L63" i="44"/>
  <c r="L34" i="44"/>
  <c r="I58" i="44"/>
  <c r="I86" i="44" s="1"/>
  <c r="I42" i="44"/>
  <c r="I55" i="44"/>
  <c r="I83" i="44" s="1"/>
  <c r="I39" i="44"/>
  <c r="N83" i="44"/>
  <c r="L55" i="44"/>
  <c r="L83" i="44" s="1"/>
  <c r="L39" i="44"/>
  <c r="I60" i="44"/>
  <c r="I88" i="44" s="1"/>
  <c r="I44" i="44"/>
  <c r="I45" i="44"/>
  <c r="J57" i="44"/>
  <c r="J85" i="44" s="1"/>
  <c r="J41" i="44"/>
  <c r="N89" i="44"/>
  <c r="N81" i="44"/>
  <c r="K30" i="9"/>
  <c r="K25" i="11"/>
  <c r="K32" i="44"/>
  <c r="C30" i="17"/>
  <c r="C28" i="17" s="1"/>
  <c r="C12" i="17" s="1"/>
  <c r="D25" i="11"/>
  <c r="K25" i="44"/>
  <c r="H25" i="11"/>
  <c r="K29" i="44"/>
  <c r="L56" i="44"/>
  <c r="L84" i="44" s="1"/>
  <c r="L40" i="44"/>
  <c r="J60" i="44"/>
  <c r="J88" i="44" s="1"/>
  <c r="J44" i="44"/>
  <c r="J45" i="44"/>
  <c r="M45" i="44"/>
  <c r="I56" i="44"/>
  <c r="I84" i="44" s="1"/>
  <c r="I40" i="44"/>
  <c r="N62" i="44"/>
  <c r="M57" i="44"/>
  <c r="M85" i="44" s="1"/>
  <c r="M41" i="44"/>
  <c r="J39" i="44"/>
  <c r="J55" i="44"/>
  <c r="J83" i="44" s="1"/>
  <c r="L54" i="44"/>
  <c r="L82" i="44" s="1"/>
  <c r="L38" i="44"/>
  <c r="N56" i="44"/>
  <c r="N40" i="44"/>
  <c r="M55" i="44"/>
  <c r="M83" i="44" s="1"/>
  <c r="M39" i="44"/>
  <c r="M54" i="44"/>
  <c r="M82" i="44" s="1"/>
  <c r="M38" i="44"/>
  <c r="F25" i="11"/>
  <c r="K27" i="44"/>
  <c r="J59" i="44"/>
  <c r="J87" i="44" s="1"/>
  <c r="J43" i="44"/>
  <c r="N60" i="44"/>
  <c r="N44" i="44"/>
  <c r="L59" i="44"/>
  <c r="L87" i="44" s="1"/>
  <c r="L43" i="44"/>
  <c r="N58" i="44"/>
  <c r="N42" i="44"/>
  <c r="G25" i="11"/>
  <c r="K28" i="44"/>
  <c r="M56" i="44"/>
  <c r="M84" i="44" s="1"/>
  <c r="M40" i="44"/>
  <c r="N54" i="44"/>
  <c r="N38" i="44"/>
  <c r="L57" i="44"/>
  <c r="L85" i="44" s="1"/>
  <c r="L41" i="44"/>
  <c r="I38" i="44"/>
  <c r="I54" i="44"/>
  <c r="M42" i="44"/>
  <c r="L44" i="44"/>
  <c r="L58" i="44"/>
  <c r="L86" i="44" s="1"/>
  <c r="L42" i="44"/>
  <c r="J42" i="44"/>
  <c r="J25" i="11"/>
  <c r="F13" i="17"/>
  <c r="L30" i="11"/>
  <c r="H13" i="17"/>
  <c r="L39" i="11"/>
  <c r="G30" i="17"/>
  <c r="E24" i="17"/>
  <c r="L34" i="11"/>
  <c r="G13" i="17"/>
  <c r="K25" i="9"/>
  <c r="E19" i="17"/>
  <c r="V41" i="17" a="1"/>
  <c r="V41" i="17" s="1"/>
  <c r="J40" i="35"/>
  <c r="Q64" i="39"/>
  <c r="R14" i="39"/>
  <c r="Q51" i="39"/>
  <c r="Q88" i="39"/>
  <c r="Q76" i="39"/>
  <c r="Q63" i="39"/>
  <c r="Q100" i="39"/>
  <c r="V17" i="17" a="1"/>
  <c r="V17" i="17" s="1"/>
  <c r="J16" i="35"/>
  <c r="Q75" i="39"/>
  <c r="V6" i="17" a="1"/>
  <c r="V6" i="17" s="1"/>
  <c r="J5" i="35"/>
  <c r="Q27" i="39"/>
  <c r="E25" i="17"/>
  <c r="K31" i="9"/>
  <c r="Q87" i="39"/>
  <c r="V113" i="17" a="1"/>
  <c r="V113" i="17" s="1"/>
  <c r="J112" i="35"/>
  <c r="V65" i="17" a="1"/>
  <c r="V65" i="17" s="1"/>
  <c r="J64" i="35"/>
  <c r="K28" i="9"/>
  <c r="E22" i="17"/>
  <c r="V89" i="17" a="1"/>
  <c r="V89" i="17" s="1"/>
  <c r="J88" i="35"/>
  <c r="V77" i="17" a="1"/>
  <c r="V77" i="17" s="1"/>
  <c r="J76" i="35"/>
  <c r="V101" i="17" a="1"/>
  <c r="V101" i="17" s="1"/>
  <c r="J100" i="35"/>
  <c r="E18" i="17"/>
  <c r="K24" i="9"/>
  <c r="R3" i="39"/>
  <c r="Q40" i="39"/>
  <c r="Q28" i="39"/>
  <c r="K23" i="9"/>
  <c r="K26" i="9"/>
  <c r="E20" i="17"/>
  <c r="E21" i="17"/>
  <c r="K27" i="9"/>
  <c r="Q52" i="39"/>
  <c r="K32" i="9"/>
  <c r="E26" i="17"/>
  <c r="V29" i="17" a="1"/>
  <c r="V29" i="17" s="1"/>
  <c r="J28" i="35"/>
  <c r="Q16" i="39"/>
  <c r="K29" i="9"/>
  <c r="E23" i="17"/>
  <c r="Q99" i="39"/>
  <c r="Q15" i="39"/>
  <c r="Q39" i="39"/>
  <c r="V53" i="17" a="1"/>
  <c r="V53" i="17" s="1"/>
  <c r="J52" i="35"/>
  <c r="M34" i="11" l="1"/>
  <c r="M30" i="11"/>
  <c r="O102" i="17" a="1"/>
  <c r="O102" i="17" s="1"/>
  <c r="BF101" i="35"/>
  <c r="O77" i="17" a="1"/>
  <c r="O77" i="17" s="1"/>
  <c r="BF76" i="35"/>
  <c r="O30" i="17" a="1"/>
  <c r="O30" i="17" s="1"/>
  <c r="BF29" i="35"/>
  <c r="O90" i="17" a="1"/>
  <c r="O90" i="17" s="1"/>
  <c r="BF89" i="35"/>
  <c r="O65" i="17" a="1"/>
  <c r="O65" i="17" s="1"/>
  <c r="BF64" i="35"/>
  <c r="M39" i="11"/>
  <c r="O114" i="17" a="1"/>
  <c r="O114" i="17" s="1"/>
  <c r="BF113" i="35"/>
  <c r="O54" i="17" a="1"/>
  <c r="O54" i="17" s="1"/>
  <c r="BF53" i="35"/>
  <c r="O18" i="17" a="1"/>
  <c r="O18" i="17" s="1"/>
  <c r="BF17" i="35"/>
  <c r="O6" i="17" a="1"/>
  <c r="O6" i="17" s="1"/>
  <c r="BF5" i="35"/>
  <c r="O42" i="17" a="1"/>
  <c r="O42" i="17" s="1"/>
  <c r="BF41" i="35"/>
  <c r="K7" i="35"/>
  <c r="BG6" i="35"/>
  <c r="N7" i="39"/>
  <c r="P7" i="43"/>
  <c r="K18" i="35"/>
  <c r="BG17" i="35"/>
  <c r="N18" i="39"/>
  <c r="P18" i="43"/>
  <c r="L64" i="44"/>
  <c r="D28" i="17"/>
  <c r="D12" i="17" s="1"/>
  <c r="J50" i="44"/>
  <c r="J48" i="44" s="1"/>
  <c r="J34" i="44" s="1"/>
  <c r="N86" i="44"/>
  <c r="K55" i="44"/>
  <c r="K83" i="44" s="1"/>
  <c r="K39" i="44"/>
  <c r="K54" i="44"/>
  <c r="K82" i="44" s="1"/>
  <c r="K38" i="44"/>
  <c r="K60" i="44"/>
  <c r="K88" i="44" s="1"/>
  <c r="K44" i="44"/>
  <c r="I82" i="44"/>
  <c r="N50" i="44"/>
  <c r="M50" i="44"/>
  <c r="N90" i="44"/>
  <c r="M34" i="44"/>
  <c r="M64" i="44" s="1"/>
  <c r="M63" i="44"/>
  <c r="I50" i="44"/>
  <c r="I48" i="44" s="1"/>
  <c r="I34" i="44" s="1"/>
  <c r="N82" i="44"/>
  <c r="K58" i="44"/>
  <c r="K86" i="44" s="1"/>
  <c r="K42" i="44"/>
  <c r="N88" i="44"/>
  <c r="N84" i="44"/>
  <c r="K59" i="44"/>
  <c r="K87" i="44" s="1"/>
  <c r="K43" i="44"/>
  <c r="K56" i="44"/>
  <c r="K84" i="44" s="1"/>
  <c r="K40" i="44"/>
  <c r="K45" i="44"/>
  <c r="K57" i="44"/>
  <c r="K85" i="44" s="1"/>
  <c r="K41" i="44"/>
  <c r="L50" i="44"/>
  <c r="K33" i="44"/>
  <c r="K46" i="44"/>
  <c r="K62" i="44"/>
  <c r="K90" i="44" s="1"/>
  <c r="N85" i="44"/>
  <c r="C43" i="17"/>
  <c r="C44" i="17" s="1"/>
  <c r="P145" i="17" s="1" a="1"/>
  <c r="P145" i="17" s="1"/>
  <c r="R15" i="39"/>
  <c r="R99" i="39"/>
  <c r="Q53" i="39"/>
  <c r="R39" i="39"/>
  <c r="Q5" i="39"/>
  <c r="R52" i="39"/>
  <c r="R28" i="39"/>
  <c r="V114" i="17" a="1"/>
  <c r="V114" i="17" s="1"/>
  <c r="J113" i="35"/>
  <c r="Q6" i="39"/>
  <c r="R75" i="39"/>
  <c r="R100" i="39"/>
  <c r="R63" i="39"/>
  <c r="R88" i="39"/>
  <c r="V54" i="17" a="1"/>
  <c r="V54" i="17" s="1"/>
  <c r="J53" i="35"/>
  <c r="Q29" i="39"/>
  <c r="E30" i="17"/>
  <c r="E28" i="17" s="1"/>
  <c r="V90" i="17" a="1"/>
  <c r="V90" i="17" s="1"/>
  <c r="J89" i="35"/>
  <c r="V66" i="17" a="1"/>
  <c r="V66" i="17" s="1"/>
  <c r="J65" i="35"/>
  <c r="R87" i="39"/>
  <c r="R27" i="39"/>
  <c r="V7" i="17" a="1"/>
  <c r="V7" i="17" s="1"/>
  <c r="J6" i="35"/>
  <c r="R76" i="39"/>
  <c r="R64" i="39"/>
  <c r="R16" i="39"/>
  <c r="V30" i="17" a="1"/>
  <c r="V30" i="17" s="1"/>
  <c r="J29" i="35"/>
  <c r="V18" i="17" a="1"/>
  <c r="V18" i="17" s="1"/>
  <c r="J17" i="35"/>
  <c r="V42" i="17" a="1"/>
  <c r="V42" i="17" s="1"/>
  <c r="J41" i="35"/>
  <c r="R40" i="39"/>
  <c r="V102" i="17" a="1"/>
  <c r="V102" i="17" s="1"/>
  <c r="J101" i="35"/>
  <c r="V78" i="17" a="1"/>
  <c r="V78" i="17" s="1"/>
  <c r="J77" i="35"/>
  <c r="R51" i="39"/>
  <c r="D43" i="17" l="1"/>
  <c r="Q122" i="17" s="1" a="1"/>
  <c r="Q122" i="17" s="1"/>
  <c r="Q123" i="17" s="1" a="1"/>
  <c r="Q123" i="17" s="1"/>
  <c r="Q124" i="17" s="1" a="1"/>
  <c r="Q124" i="17" s="1"/>
  <c r="Q125" i="17" s="1" a="1"/>
  <c r="Q125" i="17" s="1"/>
  <c r="Q126" i="17" s="1" a="1"/>
  <c r="Q126" i="17" s="1"/>
  <c r="Q127" i="17" s="1" a="1"/>
  <c r="Q127" i="17" s="1"/>
  <c r="Q128" i="17" s="1" a="1"/>
  <c r="Q128" i="17" s="1"/>
  <c r="Q129" i="17" s="1" a="1"/>
  <c r="Q129" i="17" s="1"/>
  <c r="Q130" i="17" s="1" a="1"/>
  <c r="Q130" i="17" s="1"/>
  <c r="Q131" i="17" s="1" a="1"/>
  <c r="Q131" i="17" s="1"/>
  <c r="Q132" i="17" s="1" a="1"/>
  <c r="Q132" i="17" s="1"/>
  <c r="O19" i="17" a="1"/>
  <c r="O19" i="17" s="1"/>
  <c r="BF18" i="35"/>
  <c r="O115" i="17" a="1"/>
  <c r="O115" i="17" s="1"/>
  <c r="BF114" i="35"/>
  <c r="O31" i="17" a="1"/>
  <c r="O31" i="17" s="1"/>
  <c r="BF30" i="35"/>
  <c r="O78" i="17" a="1"/>
  <c r="O78" i="17" s="1"/>
  <c r="BF77" i="35"/>
  <c r="O7" i="17" a="1"/>
  <c r="O7" i="17" s="1"/>
  <c r="BF6" i="35"/>
  <c r="O55" i="17" a="1"/>
  <c r="O55" i="17" s="1"/>
  <c r="BF54" i="35"/>
  <c r="O91" i="17" a="1"/>
  <c r="O91" i="17" s="1"/>
  <c r="BF90" i="35"/>
  <c r="K19" i="35"/>
  <c r="BG18" i="35"/>
  <c r="N19" i="39"/>
  <c r="P19" i="43"/>
  <c r="K8" i="35"/>
  <c r="BG7" i="35"/>
  <c r="P8" i="43"/>
  <c r="N8" i="39"/>
  <c r="O43" i="17" a="1"/>
  <c r="O43" i="17" s="1"/>
  <c r="BF42" i="35"/>
  <c r="O66" i="17" a="1"/>
  <c r="O66" i="17" s="1"/>
  <c r="BF65" i="35"/>
  <c r="O103" i="17" a="1"/>
  <c r="O103" i="17" s="1"/>
  <c r="BF102" i="35"/>
  <c r="J63" i="44"/>
  <c r="K34" i="44"/>
  <c r="E12" i="17"/>
  <c r="K50" i="44"/>
  <c r="D13" i="17"/>
  <c r="L20" i="11"/>
  <c r="Q133" i="17" a="1"/>
  <c r="Q133" i="17" s="1"/>
  <c r="C13" i="17"/>
  <c r="L16" i="11"/>
  <c r="P133" i="17" a="1"/>
  <c r="P133" i="17" s="1"/>
  <c r="P134" i="17" s="1" a="1"/>
  <c r="P134" i="17" s="1"/>
  <c r="P135" i="17" s="1" a="1"/>
  <c r="P135" i="17" s="1"/>
  <c r="P136" i="17" s="1" a="1"/>
  <c r="P136" i="17" s="1"/>
  <c r="P137" i="17" s="1" a="1"/>
  <c r="P137" i="17" s="1"/>
  <c r="P138" i="17" s="1" a="1"/>
  <c r="P138" i="17" s="1"/>
  <c r="P139" i="17" s="1" a="1"/>
  <c r="P139" i="17" s="1"/>
  <c r="P140" i="17" s="1" a="1"/>
  <c r="P140" i="17" s="1"/>
  <c r="P141" i="17" s="1" a="1"/>
  <c r="P141" i="17" s="1"/>
  <c r="P142" i="17" s="1" a="1"/>
  <c r="P142" i="17" s="1"/>
  <c r="P143" i="17" s="1" a="1"/>
  <c r="P143" i="17" s="1"/>
  <c r="P144" i="17" s="1" a="1"/>
  <c r="P144" i="17" s="1"/>
  <c r="P122" i="17" a="1"/>
  <c r="P122" i="17" s="1"/>
  <c r="P123" i="17" s="1" a="1"/>
  <c r="P123" i="17" s="1"/>
  <c r="P124" i="17" s="1" a="1"/>
  <c r="P124" i="17" s="1"/>
  <c r="P125" i="17" s="1" a="1"/>
  <c r="P125" i="17" s="1"/>
  <c r="P126" i="17" s="1" a="1"/>
  <c r="P126" i="17" s="1"/>
  <c r="P127" i="17" s="1" a="1"/>
  <c r="P127" i="17" s="1"/>
  <c r="P128" i="17" s="1" a="1"/>
  <c r="P128" i="17" s="1"/>
  <c r="P129" i="17" s="1" a="1"/>
  <c r="P129" i="17" s="1"/>
  <c r="P130" i="17" s="1" a="1"/>
  <c r="P130" i="17" s="1"/>
  <c r="P131" i="17" s="1" a="1"/>
  <c r="P131" i="17" s="1"/>
  <c r="P132" i="17" s="1" a="1"/>
  <c r="P132" i="17" s="1"/>
  <c r="E43" i="17"/>
  <c r="R29" i="39"/>
  <c r="Q101" i="39"/>
  <c r="Q90" i="39"/>
  <c r="Q65" i="39"/>
  <c r="R53" i="39"/>
  <c r="V103" i="17" a="1"/>
  <c r="V103" i="17" s="1"/>
  <c r="J102" i="35"/>
  <c r="V43" i="17" a="1"/>
  <c r="V43" i="17" s="1"/>
  <c r="J42" i="35"/>
  <c r="V19" i="17" a="1"/>
  <c r="V19" i="17" s="1"/>
  <c r="J18" i="35"/>
  <c r="V79" i="17" a="1"/>
  <c r="V79" i="17" s="1"/>
  <c r="J78" i="35"/>
  <c r="V31" i="17" a="1"/>
  <c r="V31" i="17" s="1"/>
  <c r="J30" i="35"/>
  <c r="V8" i="17" a="1"/>
  <c r="V8" i="17" s="1"/>
  <c r="J7" i="35"/>
  <c r="Q66" i="39"/>
  <c r="V91" i="17" a="1"/>
  <c r="V91" i="17" s="1"/>
  <c r="J90" i="35"/>
  <c r="V55" i="17" a="1"/>
  <c r="V55" i="17" s="1"/>
  <c r="J54" i="35"/>
  <c r="Q89" i="39"/>
  <c r="R5" i="39"/>
  <c r="Q102" i="39"/>
  <c r="Q42" i="39"/>
  <c r="Q18" i="39"/>
  <c r="Q77" i="39"/>
  <c r="Q41" i="39"/>
  <c r="Q17" i="39"/>
  <c r="V67" i="17" a="1"/>
  <c r="V67" i="17" s="1"/>
  <c r="J66" i="35"/>
  <c r="R6" i="39"/>
  <c r="V115" i="17" a="1"/>
  <c r="V115" i="17" s="1"/>
  <c r="J114" i="35"/>
  <c r="D44" i="17" l="1"/>
  <c r="Q145" i="17" s="1" a="1"/>
  <c r="Q145" i="17" s="1"/>
  <c r="O104" i="17" a="1"/>
  <c r="O104" i="17" s="1"/>
  <c r="BF103" i="35"/>
  <c r="K9" i="35"/>
  <c r="BG8" i="35"/>
  <c r="N9" i="39"/>
  <c r="P9" i="43"/>
  <c r="K20" i="35"/>
  <c r="BG19" i="35"/>
  <c r="P20" i="43"/>
  <c r="N20" i="39"/>
  <c r="O20" i="17" a="1"/>
  <c r="O20" i="17" s="1"/>
  <c r="BF19" i="35"/>
  <c r="L25" i="11"/>
  <c r="O67" i="17" a="1"/>
  <c r="O67" i="17" s="1"/>
  <c r="BF66" i="35"/>
  <c r="O116" i="17" a="1"/>
  <c r="O116" i="17" s="1"/>
  <c r="BF115" i="35"/>
  <c r="O32" i="17" a="1"/>
  <c r="O32" i="17" s="1"/>
  <c r="BF31" i="35"/>
  <c r="O44" i="17" a="1"/>
  <c r="O44" i="17" s="1"/>
  <c r="BF43" i="35"/>
  <c r="O92" i="17" a="1"/>
  <c r="O92" i="17" s="1"/>
  <c r="BF91" i="35"/>
  <c r="O56" i="17" a="1"/>
  <c r="O56" i="17" s="1"/>
  <c r="BF55" i="35"/>
  <c r="O8" i="17" a="1"/>
  <c r="O8" i="17" s="1"/>
  <c r="BF7" i="35"/>
  <c r="O79" i="17" a="1"/>
  <c r="O79" i="17" s="1"/>
  <c r="BF78" i="35"/>
  <c r="J64" i="44"/>
  <c r="I64" i="44"/>
  <c r="Q134" i="17" a="1"/>
  <c r="Q134" i="17" s="1"/>
  <c r="Q135" i="17" s="1" a="1"/>
  <c r="Q135" i="17" s="1"/>
  <c r="Q136" i="17" s="1" a="1"/>
  <c r="Q136" i="17" s="1"/>
  <c r="Q137" i="17" s="1" a="1"/>
  <c r="Q137" i="17" s="1"/>
  <c r="Q138" i="17" s="1" a="1"/>
  <c r="Q138" i="17" s="1"/>
  <c r="Q139" i="17" s="1" a="1"/>
  <c r="Q139" i="17" s="1"/>
  <c r="Q140" i="17" s="1" a="1"/>
  <c r="Q140" i="17" s="1"/>
  <c r="Q141" i="17" s="1" a="1"/>
  <c r="Q141" i="17" s="1"/>
  <c r="Q142" i="17" s="1" a="1"/>
  <c r="Q142" i="17" s="1"/>
  <c r="Q143" i="17" s="1" a="1"/>
  <c r="Q143" i="17" s="1"/>
  <c r="Q144" i="17" s="1" a="1"/>
  <c r="Q144" i="17" s="1"/>
  <c r="K63" i="44"/>
  <c r="E13" i="17"/>
  <c r="M20" i="11"/>
  <c r="M16" i="11"/>
  <c r="E44" i="17"/>
  <c r="R133" i="17" a="1"/>
  <c r="R133" i="17" s="1"/>
  <c r="R122" i="17" a="1"/>
  <c r="R122" i="17" s="1"/>
  <c r="R123" i="17" s="1" a="1"/>
  <c r="R123" i="17" s="1"/>
  <c r="R124" i="17" s="1" a="1"/>
  <c r="R124" i="17" s="1"/>
  <c r="R125" i="17" s="1" a="1"/>
  <c r="R125" i="17" s="1"/>
  <c r="R126" i="17" s="1" a="1"/>
  <c r="R126" i="17" s="1"/>
  <c r="R127" i="17" s="1" a="1"/>
  <c r="R127" i="17" s="1"/>
  <c r="R128" i="17" s="1" a="1"/>
  <c r="R128" i="17" s="1"/>
  <c r="R129" i="17" s="1" a="1"/>
  <c r="R129" i="17" s="1"/>
  <c r="R130" i="17" s="1" a="1"/>
  <c r="R130" i="17" s="1"/>
  <c r="R131" i="17" s="1" a="1"/>
  <c r="R131" i="17" s="1"/>
  <c r="R132" i="17" s="1" a="1"/>
  <c r="R132" i="17" s="1"/>
  <c r="V56" i="17" a="1"/>
  <c r="V56" i="17" s="1"/>
  <c r="J55" i="35"/>
  <c r="Q31" i="39"/>
  <c r="V68" i="17" a="1"/>
  <c r="V68" i="17" s="1"/>
  <c r="J67" i="35"/>
  <c r="R42" i="39"/>
  <c r="V92" i="17" a="1"/>
  <c r="V92" i="17" s="1"/>
  <c r="J91" i="35"/>
  <c r="V9" i="17" a="1"/>
  <c r="V9" i="17" s="1"/>
  <c r="J8" i="35"/>
  <c r="V32" i="17" a="1"/>
  <c r="V32" i="17" s="1"/>
  <c r="J31" i="35"/>
  <c r="V80" i="17" a="1"/>
  <c r="V80" i="17" s="1"/>
  <c r="J79" i="35"/>
  <c r="V44" i="17" a="1"/>
  <c r="V44" i="17" s="1"/>
  <c r="J43" i="35"/>
  <c r="Q54" i="39"/>
  <c r="R41" i="39"/>
  <c r="R77" i="39"/>
  <c r="R89" i="39"/>
  <c r="R66" i="39"/>
  <c r="Q78" i="39"/>
  <c r="V20" i="17" a="1"/>
  <c r="V20" i="17" s="1"/>
  <c r="J19" i="35"/>
  <c r="V104" i="17" a="1"/>
  <c r="V104" i="17" s="1"/>
  <c r="J103" i="35"/>
  <c r="R90" i="39"/>
  <c r="V116" i="17" a="1"/>
  <c r="V116" i="17" s="1"/>
  <c r="J115" i="35"/>
  <c r="R17" i="39"/>
  <c r="R65" i="39"/>
  <c r="R18" i="39"/>
  <c r="R102" i="39"/>
  <c r="Q55" i="39"/>
  <c r="Q7" i="39"/>
  <c r="Q30" i="39"/>
  <c r="R101" i="39"/>
  <c r="F11" i="18"/>
  <c r="F8" i="18"/>
  <c r="H56" i="11" s="1"/>
  <c r="O57" i="17" l="1" a="1"/>
  <c r="O57" i="17" s="1"/>
  <c r="BF56" i="35"/>
  <c r="O117" i="17" a="1"/>
  <c r="O117" i="17" s="1"/>
  <c r="BF116" i="35"/>
  <c r="O105" i="17" a="1"/>
  <c r="O105" i="17" s="1"/>
  <c r="BF104" i="35"/>
  <c r="O33" i="17" a="1"/>
  <c r="O33" i="17" s="1"/>
  <c r="BF32" i="35"/>
  <c r="O68" i="17" a="1"/>
  <c r="O68" i="17" s="1"/>
  <c r="BF67" i="35"/>
  <c r="K21" i="35"/>
  <c r="BG20" i="35"/>
  <c r="P21" i="43"/>
  <c r="N21" i="39"/>
  <c r="K10" i="35"/>
  <c r="BG9" i="35"/>
  <c r="N10" i="39"/>
  <c r="P10" i="43"/>
  <c r="O9" i="17" a="1"/>
  <c r="O9" i="17" s="1"/>
  <c r="BF8" i="35"/>
  <c r="O45" i="17" a="1"/>
  <c r="O45" i="17" s="1"/>
  <c r="BF44" i="35"/>
  <c r="O21" i="17" a="1"/>
  <c r="O21" i="17" s="1"/>
  <c r="BF20" i="35"/>
  <c r="M25" i="11"/>
  <c r="O80" i="17" a="1"/>
  <c r="O80" i="17" s="1"/>
  <c r="BF79" i="35"/>
  <c r="O93" i="17" a="1"/>
  <c r="O93" i="17" s="1"/>
  <c r="BF92" i="35"/>
  <c r="K64" i="44"/>
  <c r="R134" i="17" a="1"/>
  <c r="R134" i="17" s="1"/>
  <c r="R135" i="17" s="1" a="1"/>
  <c r="R135" i="17" s="1"/>
  <c r="R136" i="17" s="1" a="1"/>
  <c r="R136" i="17" s="1"/>
  <c r="R137" i="17" s="1" a="1"/>
  <c r="R137" i="17" s="1"/>
  <c r="R138" i="17" s="1" a="1"/>
  <c r="R138" i="17" s="1"/>
  <c r="R139" i="17" s="1" a="1"/>
  <c r="R139" i="17" s="1"/>
  <c r="R140" i="17" s="1" a="1"/>
  <c r="R140" i="17" s="1"/>
  <c r="R141" i="17" s="1" a="1"/>
  <c r="R141" i="17" s="1"/>
  <c r="R142" i="17" s="1" a="1"/>
  <c r="R142" i="17" s="1"/>
  <c r="R143" i="17" s="1" a="1"/>
  <c r="R143" i="17" s="1"/>
  <c r="R144" i="17" s="1" a="1"/>
  <c r="R144" i="17" s="1"/>
  <c r="R145" i="17" a="1"/>
  <c r="R145" i="17" s="1"/>
  <c r="R30" i="39"/>
  <c r="V117" i="17" a="1"/>
  <c r="V117" i="17" s="1"/>
  <c r="J116" i="35"/>
  <c r="V21" i="17" a="1"/>
  <c r="V21" i="17" s="1"/>
  <c r="J20" i="35"/>
  <c r="R54" i="39"/>
  <c r="V81" i="17" a="1"/>
  <c r="V81" i="17" s="1"/>
  <c r="J80" i="35"/>
  <c r="Q19" i="39"/>
  <c r="V10" i="17" a="1"/>
  <c r="V10" i="17" s="1"/>
  <c r="J9" i="35"/>
  <c r="V57" i="17" a="1"/>
  <c r="V57" i="17" s="1"/>
  <c r="J56" i="35"/>
  <c r="Q79" i="39"/>
  <c r="R55" i="39"/>
  <c r="Q44" i="39"/>
  <c r="Q92" i="39"/>
  <c r="R31" i="39"/>
  <c r="Q91" i="39"/>
  <c r="R7" i="39"/>
  <c r="Q43" i="39"/>
  <c r="V105" i="17" a="1"/>
  <c r="V105" i="17" s="1"/>
  <c r="J104" i="35"/>
  <c r="R78" i="39"/>
  <c r="V45" i="17" a="1"/>
  <c r="V45" i="17" s="1"/>
  <c r="J44" i="35"/>
  <c r="Q103" i="39"/>
  <c r="V33" i="17" a="1"/>
  <c r="V33" i="17" s="1"/>
  <c r="J32" i="35"/>
  <c r="V93" i="17" a="1"/>
  <c r="V93" i="17" s="1"/>
  <c r="J92" i="35"/>
  <c r="Q68" i="39"/>
  <c r="Q67" i="39"/>
  <c r="Q20" i="39"/>
  <c r="Q80" i="39"/>
  <c r="V69" i="17" a="1"/>
  <c r="V69" i="17" s="1"/>
  <c r="J68" i="35"/>
  <c r="Q8" i="39"/>
  <c r="Q56" i="39"/>
  <c r="K46" i="11"/>
  <c r="K11" i="35" l="1"/>
  <c r="BG10" i="35"/>
  <c r="N11" i="39"/>
  <c r="P11" i="43"/>
  <c r="K22" i="35"/>
  <c r="BG21" i="35"/>
  <c r="N22" i="39"/>
  <c r="P22" i="43"/>
  <c r="O34" i="17" a="1"/>
  <c r="O34" i="17" s="1"/>
  <c r="BF33" i="35"/>
  <c r="O81" i="17" a="1"/>
  <c r="O81" i="17" s="1"/>
  <c r="BF80" i="35"/>
  <c r="O106" i="17" a="1"/>
  <c r="O106" i="17" s="1"/>
  <c r="BF105" i="35"/>
  <c r="O94" i="17" a="1"/>
  <c r="O94" i="17" s="1"/>
  <c r="BF93" i="35"/>
  <c r="O22" i="17" a="1"/>
  <c r="O22" i="17" s="1"/>
  <c r="BF21" i="35"/>
  <c r="O10" i="17" a="1"/>
  <c r="O10" i="17" s="1"/>
  <c r="BF9" i="35"/>
  <c r="O46" i="17" a="1"/>
  <c r="O46" i="17" s="1"/>
  <c r="BF45" i="35"/>
  <c r="O69" i="17" a="1"/>
  <c r="O69" i="17" s="1"/>
  <c r="BF68" i="35"/>
  <c r="O118" i="17" a="1"/>
  <c r="O118" i="17" s="1"/>
  <c r="BF117" i="35"/>
  <c r="O58" i="17" a="1"/>
  <c r="O58" i="17" s="1"/>
  <c r="BF57" i="35"/>
  <c r="K56" i="11"/>
  <c r="V106" i="17" a="1"/>
  <c r="V106" i="17" s="1"/>
  <c r="J105" i="35"/>
  <c r="R92" i="39"/>
  <c r="Q104" i="39"/>
  <c r="V58" i="17" a="1"/>
  <c r="V58" i="17" s="1"/>
  <c r="J57" i="35"/>
  <c r="V11" i="17" a="1"/>
  <c r="V11" i="17" s="1"/>
  <c r="J10" i="35"/>
  <c r="V82" i="17" a="1"/>
  <c r="V82" i="17" s="1"/>
  <c r="J81" i="35"/>
  <c r="V118" i="17" a="1"/>
  <c r="V118" i="17" s="1"/>
  <c r="J117" i="35"/>
  <c r="R67" i="39"/>
  <c r="V94" i="17" a="1"/>
  <c r="V94" i="17" s="1"/>
  <c r="J93" i="35"/>
  <c r="R103" i="39"/>
  <c r="R91" i="39"/>
  <c r="R79" i="39"/>
  <c r="Q21" i="39"/>
  <c r="R68" i="39"/>
  <c r="Q33" i="39"/>
  <c r="Q32" i="39"/>
  <c r="R44" i="39"/>
  <c r="R19" i="39"/>
  <c r="V22" i="17" a="1"/>
  <c r="V22" i="17" s="1"/>
  <c r="J21" i="35"/>
  <c r="R56" i="39"/>
  <c r="V70" i="17" a="1"/>
  <c r="V70" i="17" s="1"/>
  <c r="J69" i="35"/>
  <c r="Q9" i="39"/>
  <c r="R80" i="39"/>
  <c r="R8" i="39"/>
  <c r="R20" i="39"/>
  <c r="V34" i="17" a="1"/>
  <c r="V34" i="17" s="1"/>
  <c r="J33" i="35"/>
  <c r="V46" i="17" a="1"/>
  <c r="V46" i="17" s="1"/>
  <c r="J45" i="35"/>
  <c r="R43" i="39"/>
  <c r="Q57" i="39"/>
  <c r="Q81" i="39"/>
  <c r="O107" i="17" l="1" a="1"/>
  <c r="O107" i="17" s="1"/>
  <c r="BF106" i="35"/>
  <c r="O59" i="17" a="1"/>
  <c r="O59" i="17" s="1"/>
  <c r="BF58" i="35"/>
  <c r="O119" i="17" a="1"/>
  <c r="O119" i="17" s="1"/>
  <c r="BF118" i="35"/>
  <c r="O70" i="17" a="1"/>
  <c r="O70" i="17" s="1"/>
  <c r="BF69" i="35"/>
  <c r="O95" i="17" a="1"/>
  <c r="O95" i="17" s="1"/>
  <c r="BF94" i="35"/>
  <c r="O35" i="17" a="1"/>
  <c r="O35" i="17" s="1"/>
  <c r="BF34" i="35"/>
  <c r="K23" i="35"/>
  <c r="BG22" i="35"/>
  <c r="P23" i="43"/>
  <c r="N23" i="39"/>
  <c r="K12" i="35"/>
  <c r="BG11" i="35"/>
  <c r="P12" i="43"/>
  <c r="N12" i="39"/>
  <c r="O11" i="17" a="1"/>
  <c r="O11" i="17" s="1"/>
  <c r="BF10" i="35"/>
  <c r="O23" i="17" a="1"/>
  <c r="O23" i="17" s="1"/>
  <c r="BF22" i="35"/>
  <c r="O82" i="17" a="1"/>
  <c r="O82" i="17" s="1"/>
  <c r="BF81" i="35"/>
  <c r="O47" i="17" a="1"/>
  <c r="O47" i="17" s="1"/>
  <c r="BF46" i="35"/>
  <c r="Q10" i="39"/>
  <c r="V47" i="17" a="1"/>
  <c r="V47" i="17" s="1"/>
  <c r="J46" i="35"/>
  <c r="V71" i="17" a="1"/>
  <c r="V71" i="17" s="1"/>
  <c r="J70" i="35"/>
  <c r="R33" i="39"/>
  <c r="V119" i="17" a="1"/>
  <c r="V119" i="17" s="1"/>
  <c r="J118" i="35"/>
  <c r="Q11" i="39"/>
  <c r="V107" i="17" a="1"/>
  <c r="V107" i="17" s="1"/>
  <c r="J106" i="35"/>
  <c r="R81" i="39"/>
  <c r="R57" i="39"/>
  <c r="V35" i="17" a="1"/>
  <c r="V35" i="17" s="1"/>
  <c r="J34" i="35"/>
  <c r="Q46" i="39"/>
  <c r="Q69" i="39"/>
  <c r="V23" i="17" a="1"/>
  <c r="V23" i="17" s="1"/>
  <c r="J22" i="35"/>
  <c r="R32" i="39"/>
  <c r="V95" i="17" a="1"/>
  <c r="V95" i="17" s="1"/>
  <c r="J94" i="35"/>
  <c r="V12" i="17" a="1"/>
  <c r="V12" i="17" s="1"/>
  <c r="J12" i="35" s="1"/>
  <c r="J11" i="35"/>
  <c r="Q93" i="39"/>
  <c r="Q45" i="39"/>
  <c r="Q82" i="39"/>
  <c r="Q58" i="39"/>
  <c r="R104" i="39"/>
  <c r="R9" i="39"/>
  <c r="Q105" i="39"/>
  <c r="Q70" i="39"/>
  <c r="R21" i="39"/>
  <c r="V83" i="17" a="1"/>
  <c r="V83" i="17" s="1"/>
  <c r="J82" i="35"/>
  <c r="V59" i="17" a="1"/>
  <c r="V59" i="17" s="1"/>
  <c r="J58" i="35"/>
  <c r="Q106" i="39"/>
  <c r="BG12" i="35" l="1"/>
  <c r="N13" i="39"/>
  <c r="P13" i="43"/>
  <c r="K24" i="35"/>
  <c r="BG23" i="35"/>
  <c r="P24" i="43"/>
  <c r="N24" i="39"/>
  <c r="O120" i="17" a="1"/>
  <c r="O120" i="17" s="1"/>
  <c r="BF119" i="35"/>
  <c r="B11" i="17"/>
  <c r="O108" i="17" a="1"/>
  <c r="O108" i="17" s="1"/>
  <c r="BF108" i="35" s="1"/>
  <c r="BF107" i="35"/>
  <c r="O48" i="17" a="1"/>
  <c r="O48" i="17" s="1"/>
  <c r="BF48" i="35" s="1"/>
  <c r="BF47" i="35"/>
  <c r="O24" i="17" a="1"/>
  <c r="O24" i="17" s="1"/>
  <c r="BF24" i="35" s="1"/>
  <c r="BF23" i="35"/>
  <c r="O83" i="17" a="1"/>
  <c r="O83" i="17" s="1"/>
  <c r="BF82" i="35"/>
  <c r="O60" i="17" a="1"/>
  <c r="O60" i="17" s="1"/>
  <c r="BF60" i="35" s="1"/>
  <c r="BF59" i="35"/>
  <c r="O12" i="17" a="1"/>
  <c r="O12" i="17" s="1"/>
  <c r="BF12" i="35" s="1"/>
  <c r="BF11" i="35"/>
  <c r="O36" i="17" a="1"/>
  <c r="O36" i="17" s="1"/>
  <c r="BF35" i="35"/>
  <c r="O96" i="17" a="1"/>
  <c r="O96" i="17" s="1"/>
  <c r="BF96" i="35" s="1"/>
  <c r="BF95" i="35"/>
  <c r="B9" i="17"/>
  <c r="O71" i="17" a="1"/>
  <c r="O71" i="17" s="1"/>
  <c r="BF70" i="35"/>
  <c r="R93" i="39"/>
  <c r="V24" i="17" a="1"/>
  <c r="V24" i="17" s="1"/>
  <c r="J24" i="35" s="1"/>
  <c r="J23" i="35"/>
  <c r="Q35" i="39"/>
  <c r="Q107" i="39"/>
  <c r="Q22" i="39"/>
  <c r="R106" i="39"/>
  <c r="Q83" i="39"/>
  <c r="R70" i="39"/>
  <c r="R82" i="39"/>
  <c r="R45" i="39"/>
  <c r="Q12" i="39"/>
  <c r="V36" i="17" a="1"/>
  <c r="V36" i="17" s="1"/>
  <c r="J36" i="35" s="1"/>
  <c r="J35" i="35"/>
  <c r="V108" i="17" a="1"/>
  <c r="V108" i="17" s="1"/>
  <c r="J108" i="35" s="1"/>
  <c r="J107" i="35"/>
  <c r="R10" i="39"/>
  <c r="V60" i="17" a="1"/>
  <c r="V60" i="17" s="1"/>
  <c r="J60" i="35" s="1"/>
  <c r="J59" i="35"/>
  <c r="R105" i="39"/>
  <c r="Q13" i="39"/>
  <c r="V96" i="17" a="1"/>
  <c r="V96" i="17" s="1"/>
  <c r="J96" i="35" s="1"/>
  <c r="J95" i="35"/>
  <c r="R69" i="39"/>
  <c r="V120" i="17" a="1"/>
  <c r="V120" i="17" s="1"/>
  <c r="J120" i="35" s="1"/>
  <c r="J119" i="35"/>
  <c r="Q71" i="39"/>
  <c r="V84" i="17" a="1"/>
  <c r="V84" i="17" s="1"/>
  <c r="J84" i="35" s="1"/>
  <c r="J83" i="35"/>
  <c r="Q59" i="39"/>
  <c r="Q34" i="39"/>
  <c r="R58" i="39"/>
  <c r="Q23" i="39"/>
  <c r="R46" i="39"/>
  <c r="R11" i="39"/>
  <c r="Q94" i="39"/>
  <c r="V72" i="17" a="1"/>
  <c r="V72" i="17" s="1"/>
  <c r="J72" i="35" s="1"/>
  <c r="J71" i="35"/>
  <c r="V48" i="17" a="1"/>
  <c r="V48" i="17" s="1"/>
  <c r="J48" i="35" s="1"/>
  <c r="J47" i="35"/>
  <c r="B10" i="17" l="1"/>
  <c r="BF36" i="35"/>
  <c r="B4" i="17"/>
  <c r="H32" i="9"/>
  <c r="B26" i="17"/>
  <c r="H32" i="44"/>
  <c r="H62" i="44" s="1"/>
  <c r="K12" i="11"/>
  <c r="I11" i="17"/>
  <c r="K49" i="11" s="1"/>
  <c r="J11" i="17"/>
  <c r="O72" i="17" a="1"/>
  <c r="O72" i="17" s="1"/>
  <c r="BF72" i="35" s="1"/>
  <c r="BF71" i="35"/>
  <c r="H31" i="44"/>
  <c r="H31" i="9"/>
  <c r="I10" i="17"/>
  <c r="J49" i="11" s="1"/>
  <c r="B25" i="17"/>
  <c r="J12" i="11"/>
  <c r="J10" i="17"/>
  <c r="H30" i="44"/>
  <c r="J9" i="17"/>
  <c r="H30" i="9"/>
  <c r="I9" i="17"/>
  <c r="I49" i="11" s="1"/>
  <c r="I12" i="11"/>
  <c r="BF120" i="35"/>
  <c r="B3" i="17"/>
  <c r="BG24" i="35"/>
  <c r="N25" i="39"/>
  <c r="P25" i="43"/>
  <c r="O84" i="17" a="1"/>
  <c r="O84" i="17" s="1"/>
  <c r="BF83" i="35"/>
  <c r="Q48" i="39"/>
  <c r="R34" i="39"/>
  <c r="Q85" i="39"/>
  <c r="Q96" i="39"/>
  <c r="Q60" i="39"/>
  <c r="Q37" i="39"/>
  <c r="Q24" i="39"/>
  <c r="Q61" i="39"/>
  <c r="Q108" i="39"/>
  <c r="Q95" i="39"/>
  <c r="R107" i="39"/>
  <c r="Q25" i="39"/>
  <c r="Q49" i="39"/>
  <c r="R59" i="39"/>
  <c r="R71" i="39"/>
  <c r="Q97" i="39"/>
  <c r="R13" i="39"/>
  <c r="Q109" i="39"/>
  <c r="R83" i="39"/>
  <c r="Q72" i="39"/>
  <c r="R94" i="39"/>
  <c r="Q73" i="39"/>
  <c r="R23" i="39"/>
  <c r="Q84" i="39"/>
  <c r="Q47" i="39"/>
  <c r="Q36" i="39"/>
  <c r="R12" i="39"/>
  <c r="R22" i="39"/>
  <c r="R35" i="39"/>
  <c r="J58" i="11" l="1"/>
  <c r="I58" i="11"/>
  <c r="K58" i="11"/>
  <c r="H24" i="44"/>
  <c r="J3" i="17"/>
  <c r="I3" i="17"/>
  <c r="C49" i="11" s="1"/>
  <c r="H24" i="9"/>
  <c r="C12" i="11"/>
  <c r="K44" i="11"/>
  <c r="I44" i="11"/>
  <c r="H90" i="44"/>
  <c r="G62" i="44"/>
  <c r="G90" i="44" s="1"/>
  <c r="BF84" i="35"/>
  <c r="B8" i="17"/>
  <c r="J44" i="11"/>
  <c r="H45" i="44"/>
  <c r="H61" i="44"/>
  <c r="H60" i="44"/>
  <c r="H25" i="44"/>
  <c r="J4" i="17"/>
  <c r="H25" i="9"/>
  <c r="I4" i="17"/>
  <c r="D49" i="11" s="1"/>
  <c r="B19" i="17"/>
  <c r="D12" i="11"/>
  <c r="P153" i="39"/>
  <c r="Q153" i="39" s="1"/>
  <c r="E8" i="44" s="1"/>
  <c r="R97" i="39"/>
  <c r="R25" i="39"/>
  <c r="R95" i="39"/>
  <c r="R37" i="39"/>
  <c r="R60" i="39"/>
  <c r="R85" i="39"/>
  <c r="R109" i="39"/>
  <c r="R108" i="39"/>
  <c r="R24" i="39"/>
  <c r="R36" i="39"/>
  <c r="R47" i="39"/>
  <c r="R49" i="39"/>
  <c r="R96" i="39"/>
  <c r="R48" i="39"/>
  <c r="R84" i="39"/>
  <c r="R73" i="39"/>
  <c r="R72" i="39"/>
  <c r="R61" i="39"/>
  <c r="C58" i="11" l="1"/>
  <c r="D58" i="11"/>
  <c r="D44" i="11"/>
  <c r="H88" i="44"/>
  <c r="G60" i="44"/>
  <c r="G88" i="44" s="1"/>
  <c r="K54" i="11"/>
  <c r="H54" i="44"/>
  <c r="I54" i="11"/>
  <c r="C44" i="11"/>
  <c r="H89" i="44"/>
  <c r="O89" i="44" s="1"/>
  <c r="G61" i="44"/>
  <c r="G89" i="44" s="1"/>
  <c r="J54" i="11"/>
  <c r="H29" i="44"/>
  <c r="H29" i="9"/>
  <c r="H12" i="11"/>
  <c r="J8" i="17"/>
  <c r="I8" i="17"/>
  <c r="H49" i="11" s="1"/>
  <c r="B24" i="17"/>
  <c r="H55" i="44"/>
  <c r="H39" i="44"/>
  <c r="O90" i="44"/>
  <c r="H104" i="44" s="1"/>
  <c r="H76" i="44" s="1"/>
  <c r="C8" i="9"/>
  <c r="E5" i="11"/>
  <c r="E6" i="11" s="1"/>
  <c r="R153" i="39"/>
  <c r="S153" i="39" s="1"/>
  <c r="T153" i="39" s="1"/>
  <c r="H58" i="11" l="1"/>
  <c r="O88" i="44"/>
  <c r="H102" i="44" s="1"/>
  <c r="H74" i="44" s="1"/>
  <c r="C54" i="11"/>
  <c r="D54" i="11"/>
  <c r="L104" i="44"/>
  <c r="L76" i="44" s="1"/>
  <c r="N104" i="44"/>
  <c r="N76" i="44" s="1"/>
  <c r="J104" i="44"/>
  <c r="J76" i="44" s="1"/>
  <c r="M104" i="44"/>
  <c r="M76" i="44" s="1"/>
  <c r="I104" i="44"/>
  <c r="I76" i="44" s="1"/>
  <c r="K104" i="44"/>
  <c r="K76" i="44" s="1"/>
  <c r="H83" i="44"/>
  <c r="G55" i="44"/>
  <c r="G83" i="44" s="1"/>
  <c r="H59" i="44"/>
  <c r="H44" i="44"/>
  <c r="H44" i="11"/>
  <c r="H103" i="44"/>
  <c r="H75" i="44" s="1"/>
  <c r="M103" i="44"/>
  <c r="M75" i="44" s="1"/>
  <c r="L103" i="44"/>
  <c r="L75" i="44" s="1"/>
  <c r="J103" i="44"/>
  <c r="J75" i="44" s="1"/>
  <c r="K103" i="44"/>
  <c r="K75" i="44" s="1"/>
  <c r="I103" i="44"/>
  <c r="I75" i="44" s="1"/>
  <c r="N103" i="44"/>
  <c r="H82" i="44"/>
  <c r="G54" i="44"/>
  <c r="G82" i="44" s="1"/>
  <c r="D8" i="9"/>
  <c r="E8" i="9" s="1"/>
  <c r="N119" i="44" l="1"/>
  <c r="N75" i="44"/>
  <c r="K10" i="18"/>
  <c r="O83" i="44"/>
  <c r="H97" i="44" s="1"/>
  <c r="H69" i="44" s="1"/>
  <c r="J11" i="18"/>
  <c r="J10" i="18"/>
  <c r="K11" i="18"/>
  <c r="M11" i="18"/>
  <c r="N102" i="44"/>
  <c r="N74" i="44" s="1"/>
  <c r="I102" i="44"/>
  <c r="I74" i="44" s="1"/>
  <c r="L102" i="44"/>
  <c r="L74" i="44" s="1"/>
  <c r="K102" i="44"/>
  <c r="K74" i="44" s="1"/>
  <c r="J102" i="44"/>
  <c r="J74" i="44" s="1"/>
  <c r="M102" i="44"/>
  <c r="M74" i="44" s="1"/>
  <c r="O82" i="44"/>
  <c r="H96" i="44" s="1"/>
  <c r="H68" i="44" s="1"/>
  <c r="H54" i="11"/>
  <c r="H87" i="44"/>
  <c r="G59" i="44"/>
  <c r="G87" i="44" s="1"/>
  <c r="L10" i="18"/>
  <c r="L11" i="18"/>
  <c r="N118" i="44" l="1"/>
  <c r="M10" i="18"/>
  <c r="N33" i="9"/>
  <c r="N38" i="9" s="1"/>
  <c r="N121" i="44"/>
  <c r="K9" i="18"/>
  <c r="N11" i="18"/>
  <c r="I96" i="44"/>
  <c r="I68" i="44" s="1"/>
  <c r="J96" i="44"/>
  <c r="J68" i="44" s="1"/>
  <c r="K96" i="44"/>
  <c r="K68" i="44" s="1"/>
  <c r="L96" i="44"/>
  <c r="L68" i="44" s="1"/>
  <c r="N96" i="44"/>
  <c r="N68" i="44" s="1"/>
  <c r="M96" i="44"/>
  <c r="M68" i="44" s="1"/>
  <c r="K97" i="44"/>
  <c r="K69" i="44" s="1"/>
  <c r="N97" i="44"/>
  <c r="N69" i="44" s="1"/>
  <c r="I97" i="44"/>
  <c r="I69" i="44" s="1"/>
  <c r="M97" i="44"/>
  <c r="M69" i="44" s="1"/>
  <c r="J97" i="44"/>
  <c r="J69" i="44" s="1"/>
  <c r="L97" i="44"/>
  <c r="L69" i="44" s="1"/>
  <c r="L9" i="18"/>
  <c r="O87" i="44"/>
  <c r="H101" i="44"/>
  <c r="H73" i="44" s="1"/>
  <c r="J9" i="18"/>
  <c r="M9" i="18"/>
  <c r="D14" i="44"/>
  <c r="E14" i="44" s="1"/>
  <c r="N10" i="18" l="1"/>
  <c r="N9" i="18"/>
  <c r="L101" i="44"/>
  <c r="L73" i="44" s="1"/>
  <c r="K101" i="44"/>
  <c r="K73" i="44" s="1"/>
  <c r="I101" i="44"/>
  <c r="I73" i="44" s="1"/>
  <c r="M101" i="44"/>
  <c r="M73" i="44" s="1"/>
  <c r="J101" i="44"/>
  <c r="J73" i="44" s="1"/>
  <c r="N101" i="44"/>
  <c r="N73" i="44" s="1"/>
  <c r="M4" i="18"/>
  <c r="K3" i="18"/>
  <c r="J4" i="18"/>
  <c r="K4" i="18"/>
  <c r="L3" i="18"/>
  <c r="J3" i="18"/>
  <c r="L4" i="18"/>
  <c r="M3" i="18"/>
  <c r="P155" i="39"/>
  <c r="Q155" i="39" s="1"/>
  <c r="D10" i="44" s="1"/>
  <c r="E10" i="44" s="1"/>
  <c r="P156" i="39"/>
  <c r="Q156" i="39" s="1"/>
  <c r="D11" i="44" s="1"/>
  <c r="E11" i="44" s="1"/>
  <c r="P154" i="39"/>
  <c r="Q154" i="39" s="1"/>
  <c r="D9" i="44" s="1"/>
  <c r="E9" i="44" s="1"/>
  <c r="P150" i="39"/>
  <c r="P152" i="39"/>
  <c r="Q152" i="39" s="1"/>
  <c r="E7" i="44" s="1"/>
  <c r="P158" i="39"/>
  <c r="Q158" i="39" s="1"/>
  <c r="D13" i="44" s="1"/>
  <c r="E13" i="44" s="1"/>
  <c r="P157" i="39"/>
  <c r="Q157" i="39" s="1"/>
  <c r="D12" i="44" s="1"/>
  <c r="E12" i="44" s="1"/>
  <c r="P151" i="39"/>
  <c r="Q151" i="39" s="1"/>
  <c r="E6" i="44" s="1"/>
  <c r="M8" i="18" l="1"/>
  <c r="K8" i="18"/>
  <c r="N3" i="18"/>
  <c r="N4" i="18"/>
  <c r="J8" i="18"/>
  <c r="L8" i="18"/>
  <c r="C6" i="9"/>
  <c r="R151" i="39"/>
  <c r="S151" i="39" s="1"/>
  <c r="T151" i="39" s="1"/>
  <c r="C5" i="11"/>
  <c r="C6" i="11" s="1"/>
  <c r="Q150" i="39"/>
  <c r="E5" i="44" s="1"/>
  <c r="C12" i="9"/>
  <c r="I5" i="11"/>
  <c r="R157" i="39"/>
  <c r="S157" i="39" s="1"/>
  <c r="T157" i="39" s="1"/>
  <c r="F5" i="11"/>
  <c r="F6" i="11" s="1"/>
  <c r="R154" i="39"/>
  <c r="S154" i="39" s="1"/>
  <c r="T154" i="39" s="1"/>
  <c r="C9" i="9"/>
  <c r="J5" i="11"/>
  <c r="R158" i="39"/>
  <c r="S158" i="39" s="1"/>
  <c r="T158" i="39" s="1"/>
  <c r="C13" i="9"/>
  <c r="H5" i="11"/>
  <c r="R156" i="39"/>
  <c r="S156" i="39" s="1"/>
  <c r="T156" i="39" s="1"/>
  <c r="C11" i="9"/>
  <c r="D5" i="11"/>
  <c r="D6" i="11" s="1"/>
  <c r="C7" i="9"/>
  <c r="R152" i="39"/>
  <c r="S152" i="39" s="1"/>
  <c r="T152" i="39" s="1"/>
  <c r="C10" i="9"/>
  <c r="G5" i="11"/>
  <c r="R155" i="39"/>
  <c r="S155" i="39" s="1"/>
  <c r="T155" i="39" s="1"/>
  <c r="N8" i="18" l="1"/>
  <c r="D7" i="9"/>
  <c r="E7" i="9" s="1"/>
  <c r="D12" i="9"/>
  <c r="E12" i="9" s="1"/>
  <c r="D11" i="9"/>
  <c r="E11" i="9" s="1"/>
  <c r="D6" i="9"/>
  <c r="E6" i="9" s="1"/>
  <c r="D10" i="9"/>
  <c r="E10" i="9" s="1"/>
  <c r="D13" i="9"/>
  <c r="E13" i="9" s="1"/>
  <c r="D9" i="9"/>
  <c r="E9" i="9" s="1"/>
  <c r="J6" i="11"/>
  <c r="C5" i="9"/>
  <c r="B5" i="11"/>
  <c r="B6" i="11" s="1"/>
  <c r="R150" i="39"/>
  <c r="S150" i="39" s="1"/>
  <c r="T150" i="39" s="1"/>
  <c r="H6" i="11"/>
  <c r="I6" i="11"/>
  <c r="G6" i="11"/>
  <c r="D5" i="9" l="1"/>
  <c r="E5" i="9" s="1"/>
  <c r="M111" i="44" l="1"/>
  <c r="M112" i="44"/>
  <c r="M116" i="44"/>
  <c r="M117" i="44"/>
  <c r="M118" i="44"/>
  <c r="M119" i="44"/>
  <c r="M120" i="44" s="1"/>
  <c r="J111" i="44"/>
  <c r="N111" i="44"/>
  <c r="J112" i="44"/>
  <c r="N112" i="44"/>
  <c r="J116" i="44"/>
  <c r="N116" i="44"/>
  <c r="J117" i="44"/>
  <c r="N117" i="44"/>
  <c r="J118" i="44"/>
  <c r="J119" i="44"/>
  <c r="N34" i="9" l="1"/>
  <c r="I119" i="44"/>
  <c r="I117" i="44"/>
  <c r="I118" i="44"/>
  <c r="I116" i="44"/>
  <c r="I112" i="44"/>
  <c r="I111" i="44"/>
  <c r="H118" i="44"/>
  <c r="H117" i="44"/>
  <c r="H116" i="44"/>
  <c r="L119" i="44"/>
  <c r="L120" i="44" s="1"/>
  <c r="L33" i="9" s="1"/>
  <c r="L116" i="44"/>
  <c r="L118" i="44"/>
  <c r="L112" i="44"/>
  <c r="L117" i="44"/>
  <c r="L111" i="44"/>
  <c r="K118" i="44"/>
  <c r="K117" i="44"/>
  <c r="K116" i="44"/>
  <c r="K112" i="44"/>
  <c r="K119" i="44"/>
  <c r="K120" i="44" s="1"/>
  <c r="K111" i="44"/>
  <c r="M121" i="44"/>
  <c r="M34" i="9" s="1"/>
  <c r="M33" i="9"/>
  <c r="J132" i="44"/>
  <c r="J130" i="44"/>
  <c r="N131" i="44"/>
  <c r="N125" i="44"/>
  <c r="M131" i="44"/>
  <c r="M125" i="44"/>
  <c r="J131" i="44"/>
  <c r="J125" i="44"/>
  <c r="N132" i="44"/>
  <c r="N130" i="44"/>
  <c r="M132" i="44"/>
  <c r="M130" i="44"/>
  <c r="O74" i="44"/>
  <c r="O75" i="44"/>
  <c r="O73" i="44"/>
  <c r="O104" i="44"/>
  <c r="O102" i="44"/>
  <c r="O96" i="44"/>
  <c r="O103" i="44"/>
  <c r="O101" i="44"/>
  <c r="O97" i="44"/>
  <c r="L38" i="9" l="1"/>
  <c r="M38" i="9"/>
  <c r="N39" i="9"/>
  <c r="M39" i="9"/>
  <c r="I132" i="44"/>
  <c r="I130" i="44"/>
  <c r="P74" i="44"/>
  <c r="P75" i="44"/>
  <c r="P73" i="44"/>
  <c r="I125" i="44"/>
  <c r="H131" i="44"/>
  <c r="L121" i="44"/>
  <c r="L34" i="9" s="1"/>
  <c r="I131" i="44"/>
  <c r="L132" i="44"/>
  <c r="L125" i="44"/>
  <c r="L130" i="44"/>
  <c r="H130" i="44"/>
  <c r="L131" i="44"/>
  <c r="K132" i="44"/>
  <c r="K131" i="44"/>
  <c r="K125" i="44"/>
  <c r="K130" i="44"/>
  <c r="K121" i="44"/>
  <c r="K34" i="9" s="1"/>
  <c r="K33" i="9"/>
  <c r="O69" i="44"/>
  <c r="H112" i="44"/>
  <c r="O76" i="44"/>
  <c r="H119" i="44"/>
  <c r="O68" i="44"/>
  <c r="H111" i="44"/>
  <c r="K39" i="9" l="1"/>
  <c r="M47" i="9"/>
  <c r="L39" i="9"/>
  <c r="P68" i="44"/>
  <c r="P69" i="44"/>
  <c r="P76" i="44"/>
  <c r="L46" i="9"/>
  <c r="M46" i="9"/>
  <c r="L40" i="11"/>
  <c r="N46" i="9"/>
  <c r="K38" i="9"/>
  <c r="M40" i="11"/>
  <c r="N47" i="9"/>
  <c r="H125" i="44"/>
  <c r="H132" i="44"/>
  <c r="L47" i="9" l="1"/>
  <c r="K47" i="9"/>
  <c r="K46" i="9"/>
  <c r="B2" i="17" l="1"/>
  <c r="H23" i="44" s="1"/>
  <c r="H53" i="44" s="1"/>
  <c r="B5" i="17"/>
  <c r="H26" i="44" s="1"/>
  <c r="B6" i="17"/>
  <c r="H27" i="44"/>
  <c r="H57" i="44" s="1"/>
  <c r="B7" i="17"/>
  <c r="H28" i="44"/>
  <c r="H58" i="44"/>
  <c r="G58" i="44" s="1"/>
  <c r="G86" i="44" s="1"/>
  <c r="B18" i="17"/>
  <c r="B20" i="17"/>
  <c r="B21" i="17"/>
  <c r="B22" i="17"/>
  <c r="B23" i="17"/>
  <c r="G12" i="11"/>
  <c r="B12" i="11"/>
  <c r="I2" i="17"/>
  <c r="B49" i="11" s="1"/>
  <c r="H38" i="44"/>
  <c r="H42" i="44"/>
  <c r="H43" i="44"/>
  <c r="F12" i="11"/>
  <c r="E12" i="11"/>
  <c r="I6" i="17"/>
  <c r="F49" i="11" s="1"/>
  <c r="I7" i="17"/>
  <c r="G49" i="11" s="1"/>
  <c r="I5" i="17"/>
  <c r="E49" i="11" s="1"/>
  <c r="J2" i="17"/>
  <c r="H23" i="9"/>
  <c r="H26" i="9"/>
  <c r="J5" i="17"/>
  <c r="H28" i="9"/>
  <c r="J7" i="17"/>
  <c r="J6" i="17"/>
  <c r="H27" i="9"/>
  <c r="B58" i="11" l="1"/>
  <c r="E58" i="11"/>
  <c r="F58" i="11"/>
  <c r="G58" i="11"/>
  <c r="F44" i="11"/>
  <c r="G44" i="11"/>
  <c r="H56" i="44"/>
  <c r="H40" i="44"/>
  <c r="H41" i="44"/>
  <c r="H86" i="44"/>
  <c r="O86" i="44" s="1"/>
  <c r="E44" i="11"/>
  <c r="B44" i="11"/>
  <c r="B30" i="17"/>
  <c r="J100" i="44"/>
  <c r="J72" i="44" s="1"/>
  <c r="I100" i="44"/>
  <c r="I72" i="44" s="1"/>
  <c r="H100" i="44"/>
  <c r="H72" i="44" s="1"/>
  <c r="H81" i="44"/>
  <c r="G53" i="44"/>
  <c r="G81" i="44" s="1"/>
  <c r="H84" i="44"/>
  <c r="G56" i="44"/>
  <c r="G84" i="44" s="1"/>
  <c r="H85" i="44"/>
  <c r="G57" i="44"/>
  <c r="G85" i="44" s="1"/>
  <c r="F54" i="11" l="1"/>
  <c r="B54" i="11"/>
  <c r="E54" i="11"/>
  <c r="G54" i="11"/>
  <c r="B28" i="17"/>
  <c r="H50" i="44"/>
  <c r="H48" i="44" s="1"/>
  <c r="K100" i="44"/>
  <c r="K72" i="44" s="1"/>
  <c r="M100" i="44"/>
  <c r="M72" i="44" s="1"/>
  <c r="N100" i="44"/>
  <c r="N72" i="44" s="1"/>
  <c r="L100" i="44"/>
  <c r="L72" i="44" s="1"/>
  <c r="I115" i="44"/>
  <c r="H115" i="44"/>
  <c r="O81" i="44"/>
  <c r="J115" i="44"/>
  <c r="J7" i="18"/>
  <c r="O85" i="44"/>
  <c r="H99" i="44" s="1"/>
  <c r="H98" i="44"/>
  <c r="O84" i="44"/>
  <c r="O100" i="44" l="1"/>
  <c r="M115" i="44"/>
  <c r="M129" i="44" s="1"/>
  <c r="L7" i="18"/>
  <c r="K7" i="18"/>
  <c r="K115" i="44"/>
  <c r="K129" i="44" s="1"/>
  <c r="L115" i="44"/>
  <c r="L129" i="44" s="1"/>
  <c r="O72" i="44"/>
  <c r="M7" i="18"/>
  <c r="N115" i="44"/>
  <c r="N129" i="44" s="1"/>
  <c r="B43" i="17"/>
  <c r="H71" i="44"/>
  <c r="J129" i="44"/>
  <c r="H129" i="44"/>
  <c r="J99" i="44"/>
  <c r="J71" i="44" s="1"/>
  <c r="I99" i="44"/>
  <c r="I71" i="44" s="1"/>
  <c r="K99" i="44"/>
  <c r="K71" i="44" s="1"/>
  <c r="N99" i="44"/>
  <c r="N71" i="44" s="1"/>
  <c r="M99" i="44"/>
  <c r="M71" i="44" s="1"/>
  <c r="L99" i="44"/>
  <c r="L71" i="44" s="1"/>
  <c r="J95" i="44"/>
  <c r="J67" i="44" s="1"/>
  <c r="I95" i="44"/>
  <c r="I67" i="44" s="1"/>
  <c r="K95" i="44"/>
  <c r="K67" i="44" s="1"/>
  <c r="M95" i="44"/>
  <c r="M67" i="44" s="1"/>
  <c r="L95" i="44"/>
  <c r="L67" i="44" s="1"/>
  <c r="N95" i="44"/>
  <c r="N67" i="44" s="1"/>
  <c r="J98" i="44"/>
  <c r="J70" i="44" s="1"/>
  <c r="I98" i="44"/>
  <c r="I70" i="44" s="1"/>
  <c r="K98" i="44"/>
  <c r="K70" i="44" s="1"/>
  <c r="N98" i="44"/>
  <c r="N70" i="44" s="1"/>
  <c r="M98" i="44"/>
  <c r="M70" i="44" s="1"/>
  <c r="L98" i="44"/>
  <c r="L70" i="44" s="1"/>
  <c r="H95" i="44"/>
  <c r="H70" i="44"/>
  <c r="I129" i="44"/>
  <c r="P72" i="44" l="1"/>
  <c r="O98" i="44"/>
  <c r="N7" i="18"/>
  <c r="G63" i="44"/>
  <c r="L12" i="11"/>
  <c r="J12" i="17"/>
  <c r="I12" i="17"/>
  <c r="L49" i="11" s="1"/>
  <c r="O133" i="17" a="1"/>
  <c r="O133" i="17" s="1"/>
  <c r="I43" i="17"/>
  <c r="B44" i="17"/>
  <c r="O122" i="17" a="1"/>
  <c r="O122" i="17" s="1"/>
  <c r="J43" i="17"/>
  <c r="H113" i="44"/>
  <c r="H126" i="44" s="1"/>
  <c r="O70" i="44"/>
  <c r="O95" i="44"/>
  <c r="H67" i="44"/>
  <c r="K5" i="18"/>
  <c r="K113" i="44"/>
  <c r="K126" i="44" s="1"/>
  <c r="L110" i="44"/>
  <c r="L124" i="44" s="1"/>
  <c r="J110" i="44"/>
  <c r="J124" i="44" s="1"/>
  <c r="J2" i="18"/>
  <c r="K6" i="18"/>
  <c r="K114" i="44"/>
  <c r="L113" i="44"/>
  <c r="L126" i="44" s="1"/>
  <c r="I113" i="44"/>
  <c r="I126" i="44" s="1"/>
  <c r="L2" i="18"/>
  <c r="M110" i="44"/>
  <c r="M124" i="44" s="1"/>
  <c r="L114" i="44"/>
  <c r="I114" i="44"/>
  <c r="M113" i="44"/>
  <c r="M126" i="44" s="1"/>
  <c r="L5" i="18"/>
  <c r="J113" i="44"/>
  <c r="J126" i="44" s="1"/>
  <c r="J5" i="18"/>
  <c r="K2" i="18"/>
  <c r="K110" i="44"/>
  <c r="K124" i="44" s="1"/>
  <c r="L6" i="18"/>
  <c r="M114" i="44"/>
  <c r="J114" i="44"/>
  <c r="J6" i="18"/>
  <c r="H114" i="44"/>
  <c r="O71" i="44"/>
  <c r="N113" i="44"/>
  <c r="N126" i="44" s="1"/>
  <c r="M5" i="18"/>
  <c r="M2" i="18"/>
  <c r="N110" i="44"/>
  <c r="N124" i="44" s="1"/>
  <c r="I110" i="44"/>
  <c r="I124" i="44" s="1"/>
  <c r="N114" i="44"/>
  <c r="M6" i="18"/>
  <c r="O99" i="44"/>
  <c r="L58" i="11" l="1"/>
  <c r="V122" i="17" a="1"/>
  <c r="V122" i="17" s="1"/>
  <c r="V133" i="17" a="1"/>
  <c r="V133" i="17" s="1"/>
  <c r="W133" i="17" a="1"/>
  <c r="W133" i="17" s="1"/>
  <c r="K110" i="35"/>
  <c r="W122" i="17" a="1"/>
  <c r="W122" i="17" s="1"/>
  <c r="W123" i="17" s="1" a="1"/>
  <c r="W123" i="17" s="1"/>
  <c r="L44" i="11"/>
  <c r="O123" i="17" a="1"/>
  <c r="O123" i="17" s="1"/>
  <c r="I13" i="17"/>
  <c r="M49" i="11" s="1"/>
  <c r="H64" i="44"/>
  <c r="G64" i="44" s="1"/>
  <c r="J44" i="17"/>
  <c r="O145" i="17" a="1"/>
  <c r="O145" i="17" s="1"/>
  <c r="I44" i="17"/>
  <c r="O134" i="17" a="1"/>
  <c r="O134" i="17" s="1"/>
  <c r="P71" i="44"/>
  <c r="M127" i="44"/>
  <c r="M128" i="44"/>
  <c r="K127" i="44"/>
  <c r="K128" i="44"/>
  <c r="H127" i="44"/>
  <c r="H128" i="44"/>
  <c r="N2" i="18"/>
  <c r="H110" i="44"/>
  <c r="H124" i="44" s="1"/>
  <c r="O67" i="44"/>
  <c r="N127" i="44"/>
  <c r="N128" i="44"/>
  <c r="N6" i="18"/>
  <c r="L127" i="44"/>
  <c r="L128" i="44"/>
  <c r="J127" i="44"/>
  <c r="J128" i="44"/>
  <c r="N5" i="18"/>
  <c r="I127" i="44"/>
  <c r="I128" i="44"/>
  <c r="P70" i="44"/>
  <c r="M58" i="11" l="1"/>
  <c r="M139" i="44"/>
  <c r="H139" i="44"/>
  <c r="J139" i="44"/>
  <c r="N139" i="44"/>
  <c r="L139" i="44"/>
  <c r="I138" i="44"/>
  <c r="K138" i="44"/>
  <c r="J138" i="44"/>
  <c r="K139" i="44"/>
  <c r="L138" i="44"/>
  <c r="I139" i="44"/>
  <c r="H138" i="44"/>
  <c r="M138" i="44"/>
  <c r="N138" i="44"/>
  <c r="H137" i="44"/>
  <c r="H120" i="44" s="1"/>
  <c r="M137" i="44"/>
  <c r="L137" i="44"/>
  <c r="J137" i="44"/>
  <c r="J120" i="44" s="1"/>
  <c r="K137" i="44"/>
  <c r="I137" i="44"/>
  <c r="I120" i="44" s="1"/>
  <c r="W124" i="17" a="1"/>
  <c r="W124" i="17" s="1"/>
  <c r="N124" i="39"/>
  <c r="P124" i="43"/>
  <c r="O135" i="17" a="1"/>
  <c r="O135" i="17" s="1"/>
  <c r="V145" i="17" a="1"/>
  <c r="V145" i="17" s="1"/>
  <c r="V134" i="17" a="1"/>
  <c r="V134" i="17" s="1"/>
  <c r="V135" i="17" s="1" a="1"/>
  <c r="V135" i="17" s="1"/>
  <c r="O124" i="17" a="1"/>
  <c r="O124" i="17" s="1"/>
  <c r="N123" i="39"/>
  <c r="P123" i="43"/>
  <c r="N111" i="39"/>
  <c r="K111" i="35"/>
  <c r="P111" i="43"/>
  <c r="BG110" i="35"/>
  <c r="N137" i="44"/>
  <c r="W145" i="17" a="1"/>
  <c r="W145" i="17" s="1"/>
  <c r="W134" i="17" a="1"/>
  <c r="W134" i="17" s="1"/>
  <c r="W135" i="17" a="1"/>
  <c r="W135" i="17" s="1"/>
  <c r="M44" i="11"/>
  <c r="L54" i="11"/>
  <c r="P134" i="43"/>
  <c r="N134" i="39"/>
  <c r="V123" i="17" a="1"/>
  <c r="V123" i="17" s="1"/>
  <c r="P67" i="44"/>
  <c r="J135" i="44" l="1"/>
  <c r="I135" i="44"/>
  <c r="V136" i="17" a="1"/>
  <c r="V136" i="17" s="1"/>
  <c r="V124" i="17" a="1"/>
  <c r="V124" i="17" s="1"/>
  <c r="N135" i="39"/>
  <c r="P135" i="43"/>
  <c r="N146" i="39"/>
  <c r="P146" i="43"/>
  <c r="P112" i="43"/>
  <c r="K112" i="35"/>
  <c r="N112" i="39"/>
  <c r="BG111" i="35"/>
  <c r="O125" i="17" a="1"/>
  <c r="O125" i="17" s="1"/>
  <c r="O136" i="17" a="1"/>
  <c r="O136" i="17" s="1"/>
  <c r="M54" i="11"/>
  <c r="Q111" i="39"/>
  <c r="W136" i="17" a="1"/>
  <c r="W136" i="17" s="1"/>
  <c r="N136" i="39"/>
  <c r="P136" i="43"/>
  <c r="P125" i="43"/>
  <c r="W125" i="17" a="1"/>
  <c r="W125" i="17" s="1"/>
  <c r="N125" i="39"/>
  <c r="J121" i="44"/>
  <c r="J34" i="9" s="1"/>
  <c r="J33" i="9"/>
  <c r="H121" i="44"/>
  <c r="H135" i="44"/>
  <c r="I121" i="44"/>
  <c r="I34" i="9" s="1"/>
  <c r="I33" i="9"/>
  <c r="P126" i="43" l="1"/>
  <c r="N126" i="39"/>
  <c r="W126" i="17" a="1"/>
  <c r="W126" i="17" s="1"/>
  <c r="K113" i="35"/>
  <c r="N113" i="39"/>
  <c r="P113" i="43"/>
  <c r="BG112" i="35"/>
  <c r="V125" i="17" a="1"/>
  <c r="V125" i="17" s="1"/>
  <c r="R111" i="39"/>
  <c r="O126" i="17" a="1"/>
  <c r="O126" i="17" s="1"/>
  <c r="N170" i="39"/>
  <c r="O137" i="17" a="1"/>
  <c r="O137" i="17" s="1"/>
  <c r="N169" i="39"/>
  <c r="N137" i="39"/>
  <c r="P137" i="43"/>
  <c r="W137" i="17" a="1"/>
  <c r="W137" i="17" s="1"/>
  <c r="Q112" i="39"/>
  <c r="N180" i="39"/>
  <c r="V137" i="17" a="1"/>
  <c r="V137" i="17" s="1"/>
  <c r="J38" i="9"/>
  <c r="I38" i="9"/>
  <c r="H34" i="9"/>
  <c r="H33" i="9"/>
  <c r="J39" i="9"/>
  <c r="I39" i="9"/>
  <c r="H38" i="9" l="1"/>
  <c r="V138" i="17" a="1"/>
  <c r="V138" i="17" s="1"/>
  <c r="N171" i="39"/>
  <c r="W127" i="17" a="1"/>
  <c r="W127" i="17" s="1"/>
  <c r="N127" i="39"/>
  <c r="P127" i="43"/>
  <c r="R112" i="39"/>
  <c r="O127" i="17" a="1"/>
  <c r="O127" i="17" s="1"/>
  <c r="V126" i="17" a="1"/>
  <c r="V126" i="17" s="1"/>
  <c r="Q113" i="39"/>
  <c r="N138" i="39"/>
  <c r="P138" i="43"/>
  <c r="W138" i="17" a="1"/>
  <c r="W138" i="17" s="1"/>
  <c r="O138" i="17" a="1"/>
  <c r="O138" i="17" s="1"/>
  <c r="N114" i="39"/>
  <c r="P114" i="43"/>
  <c r="K114" i="35"/>
  <c r="BG113" i="35"/>
  <c r="J47" i="9"/>
  <c r="I47" i="9"/>
  <c r="I46" i="9"/>
  <c r="H39" i="9"/>
  <c r="J46" i="9"/>
  <c r="N115" i="39" l="1"/>
  <c r="BG114" i="35"/>
  <c r="K115" i="35"/>
  <c r="P115" i="43"/>
  <c r="P139" i="43"/>
  <c r="W139" i="17" a="1"/>
  <c r="W139" i="17" s="1"/>
  <c r="N139" i="39"/>
  <c r="R113" i="39"/>
  <c r="O128" i="17" a="1"/>
  <c r="O128" i="17" s="1"/>
  <c r="Q114" i="39"/>
  <c r="O139" i="17" a="1"/>
  <c r="O139" i="17" s="1"/>
  <c r="N172" i="39"/>
  <c r="N128" i="39"/>
  <c r="P128" i="43"/>
  <c r="W128" i="17" a="1"/>
  <c r="W128" i="17" s="1"/>
  <c r="V139" i="17" a="1"/>
  <c r="V139" i="17" s="1"/>
  <c r="V127" i="17" a="1"/>
  <c r="V127" i="17" s="1"/>
  <c r="H47" i="9"/>
  <c r="G39" i="9"/>
  <c r="H46" i="9"/>
  <c r="G38" i="9"/>
  <c r="O140" i="17" l="1" a="1"/>
  <c r="O140" i="17" s="1"/>
  <c r="O129" i="17" a="1"/>
  <c r="O129" i="17" s="1"/>
  <c r="N140" i="39"/>
  <c r="P140" i="43"/>
  <c r="W140" i="17" a="1"/>
  <c r="W140" i="17" s="1"/>
  <c r="P116" i="43"/>
  <c r="BG115" i="35"/>
  <c r="K116" i="35"/>
  <c r="N116" i="39"/>
  <c r="V128" i="17" a="1"/>
  <c r="V128" i="17" s="1"/>
  <c r="R114" i="39"/>
  <c r="Q115" i="39"/>
  <c r="V140" i="17" a="1"/>
  <c r="V140" i="17" s="1"/>
  <c r="N129" i="39"/>
  <c r="P129" i="43"/>
  <c r="W129" i="17" a="1"/>
  <c r="W129" i="17" s="1"/>
  <c r="N173" i="39"/>
  <c r="O47" i="9"/>
  <c r="O46" i="9"/>
  <c r="V129" i="17" l="1" a="1"/>
  <c r="V129" i="17" s="1"/>
  <c r="Q116" i="39"/>
  <c r="N174" i="39"/>
  <c r="O130" i="17" a="1"/>
  <c r="O130" i="17" s="1"/>
  <c r="R115" i="39"/>
  <c r="K117" i="35"/>
  <c r="N117" i="39"/>
  <c r="BG116" i="35"/>
  <c r="P117" i="43"/>
  <c r="N130" i="39"/>
  <c r="P130" i="43"/>
  <c r="W130" i="17" a="1"/>
  <c r="W130" i="17" s="1"/>
  <c r="P141" i="43"/>
  <c r="W141" i="17" a="1"/>
  <c r="W141" i="17" s="1"/>
  <c r="N141" i="39"/>
  <c r="O141" i="17" a="1"/>
  <c r="O141" i="17" s="1"/>
  <c r="V141" i="17" a="1"/>
  <c r="V141" i="17" s="1"/>
  <c r="N142" i="39" l="1"/>
  <c r="P142" i="43"/>
  <c r="W142" i="17" a="1"/>
  <c r="W142" i="17" s="1"/>
  <c r="W131" i="17" a="1"/>
  <c r="W131" i="17" s="1"/>
  <c r="N131" i="39"/>
  <c r="P131" i="43"/>
  <c r="N118" i="39"/>
  <c r="K118" i="35"/>
  <c r="BG117" i="35"/>
  <c r="P118" i="43"/>
  <c r="N175" i="39"/>
  <c r="Q117" i="39"/>
  <c r="V142" i="17" a="1"/>
  <c r="V142" i="17" s="1"/>
  <c r="O142" i="17" a="1"/>
  <c r="O142" i="17" s="1"/>
  <c r="O131" i="17" a="1"/>
  <c r="O131" i="17" s="1"/>
  <c r="R116" i="39"/>
  <c r="V130" i="17" a="1"/>
  <c r="V130" i="17" s="1"/>
  <c r="V143" i="17" l="1" a="1"/>
  <c r="V143" i="17" s="1"/>
  <c r="N143" i="39"/>
  <c r="P143" i="43"/>
  <c r="W143" i="17" a="1"/>
  <c r="W143" i="17" s="1"/>
  <c r="V131" i="17" a="1"/>
  <c r="V131" i="17" s="1"/>
  <c r="O143" i="17" a="1"/>
  <c r="O143" i="17" s="1"/>
  <c r="N119" i="39"/>
  <c r="P119" i="43"/>
  <c r="K119" i="35"/>
  <c r="BG118" i="35"/>
  <c r="N176" i="39"/>
  <c r="O132" i="17" a="1"/>
  <c r="O132" i="17" s="1"/>
  <c r="R117" i="39"/>
  <c r="Q118" i="39"/>
  <c r="N132" i="39"/>
  <c r="P132" i="43"/>
  <c r="W132" i="17" a="1"/>
  <c r="W132" i="17" s="1"/>
  <c r="Q119" i="39" l="1"/>
  <c r="V144" i="17" a="1"/>
  <c r="V144" i="17" s="1"/>
  <c r="O144" i="17" a="1"/>
  <c r="O144" i="17" s="1"/>
  <c r="N177" i="39"/>
  <c r="BG119" i="35"/>
  <c r="P120" i="43"/>
  <c r="K120" i="35"/>
  <c r="N120" i="39"/>
  <c r="V132" i="17" a="1"/>
  <c r="V132" i="17" s="1"/>
  <c r="P133" i="43"/>
  <c r="N133" i="39"/>
  <c r="P160" i="39" s="1"/>
  <c r="Q160" i="39" s="1"/>
  <c r="R118" i="39"/>
  <c r="W144" i="17" a="1"/>
  <c r="W144" i="17" s="1"/>
  <c r="N144" i="39"/>
  <c r="P144" i="43"/>
  <c r="N178" i="39" l="1"/>
  <c r="Q120" i="39"/>
  <c r="BG120" i="35"/>
  <c r="N121" i="39"/>
  <c r="P121" i="43"/>
  <c r="P159" i="39"/>
  <c r="P164" i="39" s="1"/>
  <c r="Q164" i="39" s="1"/>
  <c r="R119" i="39"/>
  <c r="N145" i="39"/>
  <c r="P145" i="43"/>
  <c r="C15" i="9"/>
  <c r="L5" i="11"/>
  <c r="R161" i="43" l="1"/>
  <c r="S161" i="43" s="1"/>
  <c r="C16" i="44" s="1"/>
  <c r="R160" i="43"/>
  <c r="S160" i="43" s="1"/>
  <c r="C15" i="44" s="1"/>
  <c r="Q159" i="39"/>
  <c r="R159" i="39" s="1"/>
  <c r="S159" i="39" s="1"/>
  <c r="T159" i="39" s="1"/>
  <c r="T160" i="39" s="1"/>
  <c r="R120" i="39"/>
  <c r="P161" i="39"/>
  <c r="N179" i="39"/>
  <c r="P181" i="39" s="1"/>
  <c r="Q181" i="39" s="1"/>
  <c r="Q121" i="39"/>
  <c r="G15" i="9"/>
  <c r="K5" i="11" l="1"/>
  <c r="C14" i="9"/>
  <c r="O15" i="44"/>
  <c r="O16" i="44"/>
  <c r="R121" i="39"/>
  <c r="Q161" i="39"/>
  <c r="P166" i="39"/>
  <c r="Q166" i="39" s="1"/>
  <c r="G42" i="9"/>
  <c r="L50" i="11"/>
  <c r="L8" i="11"/>
  <c r="K6" i="11" l="1"/>
  <c r="D14" i="9"/>
  <c r="E14" i="9" s="1"/>
  <c r="R123" i="39"/>
  <c r="C16" i="9"/>
  <c r="M5" i="11"/>
  <c r="G46" i="9"/>
  <c r="G16" i="9" l="1"/>
  <c r="H50" i="9"/>
  <c r="L50" i="9"/>
  <c r="M50" i="9"/>
  <c r="I50" i="9"/>
  <c r="N50" i="9"/>
  <c r="J50" i="9"/>
  <c r="K50" i="9"/>
  <c r="N42" i="9" l="1"/>
  <c r="E12" i="18" s="1"/>
  <c r="G43" i="9"/>
  <c r="G47" i="9" s="1"/>
  <c r="M50" i="11"/>
  <c r="M8" i="11"/>
  <c r="K42" i="9"/>
  <c r="M42" i="9"/>
  <c r="J42" i="9"/>
  <c r="L42" i="9"/>
  <c r="N15" i="9"/>
  <c r="O50" i="9"/>
  <c r="H42" i="9"/>
  <c r="I42" i="9"/>
  <c r="J51" i="9" l="1"/>
  <c r="N51" i="9"/>
  <c r="L51" i="9"/>
  <c r="K51" i="9"/>
  <c r="H51" i="9"/>
  <c r="I51" i="9"/>
  <c r="M51" i="9"/>
  <c r="L31" i="11"/>
  <c r="L15" i="9"/>
  <c r="D12" i="18"/>
  <c r="L35" i="11"/>
  <c r="L12" i="18"/>
  <c r="M15" i="9"/>
  <c r="L17" i="11"/>
  <c r="I15" i="9"/>
  <c r="L13" i="11"/>
  <c r="O42" i="9"/>
  <c r="P42" i="9" s="1"/>
  <c r="H15" i="9"/>
  <c r="M12" i="18"/>
  <c r="L21" i="11"/>
  <c r="B12" i="18"/>
  <c r="J12" i="18"/>
  <c r="J15" i="9"/>
  <c r="L26" i="11"/>
  <c r="C12" i="18"/>
  <c r="K12" i="18"/>
  <c r="K15" i="9"/>
  <c r="O51" i="9" l="1"/>
  <c r="H43" i="9"/>
  <c r="J43" i="9"/>
  <c r="K43" i="9"/>
  <c r="M43" i="9"/>
  <c r="L43" i="9"/>
  <c r="I43" i="9"/>
  <c r="N43" i="9"/>
  <c r="L45" i="11"/>
  <c r="L55" i="11" s="1"/>
  <c r="L27" i="11"/>
  <c r="N12" i="18"/>
  <c r="L41" i="11"/>
  <c r="L22" i="11"/>
  <c r="F12" i="18"/>
  <c r="L51" i="11" s="1"/>
  <c r="L36" i="11"/>
  <c r="E13" i="18" l="1"/>
  <c r="M13" i="18"/>
  <c r="N16" i="9"/>
  <c r="M31" i="11"/>
  <c r="L16" i="9"/>
  <c r="B13" i="18"/>
  <c r="J13" i="18"/>
  <c r="J16" i="9"/>
  <c r="M21" i="11"/>
  <c r="D13" i="18"/>
  <c r="M16" i="9"/>
  <c r="L13" i="18"/>
  <c r="M35" i="11"/>
  <c r="M13" i="11"/>
  <c r="O43" i="9"/>
  <c r="P43" i="9" s="1"/>
  <c r="H16" i="9"/>
  <c r="M17" i="11"/>
  <c r="I16" i="9"/>
  <c r="C13" i="18"/>
  <c r="K16" i="9"/>
  <c r="K13" i="18"/>
  <c r="M26" i="11"/>
  <c r="L46" i="11"/>
  <c r="L56" i="11" s="1"/>
  <c r="M27" i="11" l="1"/>
  <c r="N13" i="18"/>
  <c r="M45" i="11"/>
  <c r="M36" i="11"/>
  <c r="F13" i="18"/>
  <c r="M51" i="11" s="1"/>
  <c r="M22" i="11"/>
  <c r="M41" i="11"/>
  <c r="M55" i="11" l="1"/>
  <c r="M46" i="11"/>
  <c r="M56" i="1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<sst xmlns="http://schemas.openxmlformats.org/spreadsheetml/2006/main" count="958" uniqueCount="228">
  <si>
    <t>Purchased</t>
  </si>
  <si>
    <t>Loss Factor</t>
  </si>
  <si>
    <t>Total Billed</t>
  </si>
  <si>
    <t>Number of Peak Hours</t>
  </si>
  <si>
    <t>Purchases</t>
  </si>
  <si>
    <t>Modeled Purchases</t>
  </si>
  <si>
    <t>% Difference</t>
  </si>
  <si>
    <t>Total</t>
  </si>
  <si>
    <t>Variances (kWh)</t>
  </si>
  <si>
    <t>Average</t>
  </si>
  <si>
    <t xml:space="preserve">Geomean </t>
  </si>
  <si>
    <t>Usage Per Customer</t>
  </si>
  <si>
    <t xml:space="preserve">Total </t>
  </si>
  <si>
    <t xml:space="preserve">Used </t>
  </si>
  <si>
    <t>Standard Error</t>
  </si>
  <si>
    <t>Coefficients</t>
  </si>
  <si>
    <t>t Stat</t>
  </si>
  <si>
    <t>P-value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</si>
  <si>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</si>
  <si>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</si>
  <si>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</si>
  <si>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</si>
  <si>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</si>
  <si>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</si>
  <si>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</si>
  <si>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</si>
  <si>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</si>
  <si>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</si>
  <si>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</si>
  <si>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</si>
  <si>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</si>
  <si>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</si>
  <si>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</si>
  <si>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</si>
  <si>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</si>
  <si>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Number of Customers</t>
  </si>
  <si>
    <t xml:space="preserve">  Connections</t>
  </si>
  <si>
    <t>Total of Above</t>
  </si>
  <si>
    <t>Total from Model</t>
  </si>
  <si>
    <t>Check should all be zero</t>
  </si>
  <si>
    <t>Month</t>
  </si>
  <si>
    <t>20 Year Trend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</si>
  <si>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</si>
  <si>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</si>
  <si>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</si>
  <si>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</si>
  <si>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</si>
  <si>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</si>
  <si>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</si>
  <si>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</si>
  <si>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</si>
  <si>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</si>
  <si>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</si>
  <si>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</si>
  <si>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Trend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</si>
  <si>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</si>
  <si>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</si>
  <si>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</si>
  <si>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</si>
  <si>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</si>
  <si>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</si>
  <si>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</si>
  <si>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</si>
  <si>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</si>
  <si>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</si>
  <si>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</si>
  <si>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 xml:space="preserve">2011 Actual </t>
  </si>
  <si>
    <t>G</t>
  </si>
  <si>
    <t xml:space="preserve">2012 Actual </t>
  </si>
  <si>
    <t xml:space="preserve">2013 Actual </t>
  </si>
  <si>
    <t xml:space="preserve">2014 Actual </t>
  </si>
  <si>
    <t xml:space="preserve">2015 Actual </t>
  </si>
  <si>
    <t>Residential</t>
  </si>
  <si>
    <t>GS&lt;50</t>
  </si>
  <si>
    <t>GS&gt;50</t>
  </si>
  <si>
    <t>Year</t>
  </si>
  <si>
    <t>Weather Normal</t>
  </si>
  <si>
    <t>Embedded Distributor</t>
  </si>
  <si>
    <t>% Variance</t>
  </si>
  <si>
    <t>Embedded Distributor Usage</t>
  </si>
  <si>
    <t>CDM</t>
  </si>
  <si>
    <t>Streetlights</t>
  </si>
  <si>
    <t>Unmetered Scattered Load</t>
  </si>
  <si>
    <t>Sentinel Lights</t>
  </si>
  <si>
    <t>E.L.K. Energy Weather Normal Load Forecast for 2022 Rate Application</t>
  </si>
  <si>
    <t>Total to 2020</t>
  </si>
  <si>
    <t>Year End</t>
  </si>
  <si>
    <t>Weather Normal Projection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</si>
  <si>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</si>
  <si>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</si>
  <si>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</si>
  <si>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</si>
  <si>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</si>
  <si>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</si>
  <si>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</si>
  <si>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</si>
  <si>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</si>
  <si>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</si>
  <si>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</si>
  <si>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</si>
  <si>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</si>
  <si>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</si>
  <si>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</si>
  <si>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Date</t>
  </si>
  <si>
    <t>Sept</t>
  </si>
  <si>
    <t>10-year</t>
  </si>
  <si>
    <t>10 Year Average</t>
  </si>
  <si>
    <t>coefficient</t>
  </si>
  <si>
    <t>std. error</t>
  </si>
  <si>
    <t>t-ratio</t>
  </si>
  <si>
    <t>p-value</t>
  </si>
  <si>
    <t>const</t>
  </si>
  <si>
    <t>Predicted16</t>
  </si>
  <si>
    <t>Predicted18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</si>
  <si>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</si>
  <si>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</si>
  <si>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</si>
  <si>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</si>
  <si>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</si>
  <si>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</si>
  <si>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</si>
  <si>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F(2, 117)</t>
  </si>
  <si>
    <t>P-value(F)</t>
  </si>
  <si>
    <t>rho</t>
  </si>
  <si>
    <t>Durbin-Watson</t>
  </si>
  <si>
    <t>20 Year Trend (2022)</t>
  </si>
  <si>
    <t>Windsor A</t>
  </si>
  <si>
    <t>Purchases_LessED</t>
  </si>
  <si>
    <t>Embedded</t>
  </si>
  <si>
    <t>CustomerCount</t>
  </si>
  <si>
    <t>Customer_NoDev</t>
  </si>
  <si>
    <t>Spring</t>
  </si>
  <si>
    <t>Fall</t>
  </si>
  <si>
    <t>Shoulder</t>
  </si>
  <si>
    <t>MonthDays</t>
  </si>
  <si>
    <t>PeakDays</t>
  </si>
  <si>
    <t>COVID</t>
  </si>
  <si>
    <t>GDP</t>
  </si>
  <si>
    <t>GDP_Index</t>
  </si>
  <si>
    <t>GDP_Index_Unadj</t>
  </si>
  <si>
    <t>OntFTE_Adj</t>
  </si>
  <si>
    <t>Ont_FTE</t>
  </si>
  <si>
    <t>WindsorFTE_Adj</t>
  </si>
  <si>
    <t>WindsorFTE</t>
  </si>
  <si>
    <t>First Year</t>
  </si>
  <si>
    <t>Half Year</t>
  </si>
  <si>
    <t>Persistence</t>
  </si>
  <si>
    <t>Persistence+Half</t>
  </si>
  <si>
    <t>Savings Year</t>
  </si>
  <si>
    <t>Implementation Year</t>
  </si>
  <si>
    <t>First Year CDM</t>
  </si>
  <si>
    <t>Persisting CDM</t>
  </si>
  <si>
    <t>Half-Year First Year</t>
  </si>
  <si>
    <t>Loss in Persistence</t>
  </si>
  <si>
    <t>Total CDM in Prior Year</t>
  </si>
  <si>
    <t>Monthly Change in CDM</t>
  </si>
  <si>
    <t>Y</t>
  </si>
  <si>
    <t>W</t>
  </si>
  <si>
    <t>V</t>
  </si>
  <si>
    <t>X = W/2</t>
  </si>
  <si>
    <t>Z = X + Y</t>
  </si>
  <si>
    <t>H = Z</t>
  </si>
  <si>
    <t>A = Y</t>
  </si>
  <si>
    <t>B = V (t-1)</t>
  </si>
  <si>
    <t>C = B - A</t>
  </si>
  <si>
    <t>D = W</t>
  </si>
  <si>
    <t>F = (D + F) /78</t>
  </si>
  <si>
    <t>CDM Total (Sum of months)</t>
  </si>
  <si>
    <t>E = D/2 = X</t>
  </si>
  <si>
    <t>Check 
(Persistence + 1/2 of First Year)</t>
  </si>
  <si>
    <t>Cummulative CDM</t>
  </si>
  <si>
    <t>PurchasesCDM_LessED</t>
  </si>
  <si>
    <t>PurchasesCDM</t>
  </si>
  <si>
    <t>COVID_AM</t>
  </si>
  <si>
    <t>F(5, 114)</t>
  </si>
  <si>
    <t>Model 5: Prais-Winsten, using observations 2011:01-2020:12 (T = 120)</t>
  </si>
  <si>
    <t>Dependent variable: PurchasesCDM</t>
  </si>
  <si>
    <t>rho = 0.393088</t>
  </si>
  <si>
    <t>Model 3: Prais-Winsten, using observations 2011:01-2020:12 (T = 120)</t>
  </si>
  <si>
    <t>rho = 0.371366</t>
  </si>
  <si>
    <t>Model 2: Prais-Winsten, using observations 2011:01-2020:12 (T = 120)</t>
  </si>
  <si>
    <t>rho = 0.397002</t>
  </si>
  <si>
    <t>Predicted1816</t>
  </si>
  <si>
    <t>Purchases + CDM</t>
  </si>
  <si>
    <t>Predicted Purchases+CDM</t>
  </si>
  <si>
    <t>Predicted Purchases</t>
  </si>
  <si>
    <t>Purchases +CDM</t>
  </si>
  <si>
    <t>Predicted Purchases + CDM</t>
  </si>
  <si>
    <t>10-Yr Average</t>
  </si>
  <si>
    <t>11-19 Avg.</t>
  </si>
  <si>
    <t>15-19 Avg.</t>
  </si>
  <si>
    <t>16-20 Avg.</t>
  </si>
  <si>
    <t xml:space="preserve">2016 Actual </t>
  </si>
  <si>
    <t xml:space="preserve">2017 Actual </t>
  </si>
  <si>
    <t xml:space="preserve">2018 Actual </t>
  </si>
  <si>
    <t xml:space="preserve">2019 Actual </t>
  </si>
  <si>
    <t xml:space="preserve">2020 Actual </t>
  </si>
  <si>
    <t>2021 Weather Normal</t>
  </si>
  <si>
    <t>2022 Weather Normal</t>
  </si>
  <si>
    <t>Total No Devices</t>
  </si>
  <si>
    <t>Dependent variable: PurchasesCDM_LessED</t>
  </si>
  <si>
    <t>Model 24: Prais-Winsten, using observations 2011:01-2020:12 (T = 120)</t>
  </si>
  <si>
    <t>rho = 0.33115</t>
  </si>
  <si>
    <t>LessED1618</t>
  </si>
  <si>
    <t>HDD18Norm</t>
  </si>
  <si>
    <t>CDD16Norm</t>
  </si>
  <si>
    <t>Pred. Purchases</t>
  </si>
  <si>
    <t>Weather Normalized / Customer</t>
  </si>
  <si>
    <t>Change</t>
  </si>
  <si>
    <t>Avg.</t>
  </si>
  <si>
    <t>ED Purchases</t>
  </si>
  <si>
    <t>ED</t>
  </si>
  <si>
    <t>ED from 2.1.5 PBR</t>
  </si>
  <si>
    <t>CDD16Sq</t>
  </si>
  <si>
    <t>ResCdd</t>
  </si>
  <si>
    <t>CustCdd</t>
  </si>
  <si>
    <t>LED</t>
  </si>
  <si>
    <t>TD</t>
  </si>
  <si>
    <t>BMO</t>
  </si>
  <si>
    <t>Scotia</t>
  </si>
  <si>
    <t>RBC</t>
  </si>
  <si>
    <t>Average Used</t>
  </si>
  <si>
    <t>FTE</t>
  </si>
  <si>
    <t>2021 Diff</t>
  </si>
  <si>
    <t>2022 Diff</t>
  </si>
  <si>
    <t>Adj</t>
  </si>
  <si>
    <t>Adjustments are made to FTE forecasts to follow 2019 season employment pattern while maintaining annual rowth rates. FTEs is not used in final forecast.</t>
  </si>
  <si>
    <t>January 2021/22 values are determined by 'goalseek' function so GDP escalates monthly while maintining annual GDP growth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</si>
</sst>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#,##0.0"/>
    <numFmt numFmtId="171" formatCode="_(* #,##0_);_(* \(#,##0\);_(* &quot;-&quot;??_);_(@_)"/>
    <numFmt numFmtId="172" formatCode="&quot;$&quot;#,##0"/>
    <numFmt numFmtId="173" formatCode="#,##0.00000"/>
    <numFmt numFmtId="174" formatCode="0.000"/>
    <numFmt numFmtId="175" formatCode="_(* #,##0.0_);_(* \(#,##0.0\);_(* &quot;-&quot;??_);_(@_)"/>
    <numFmt numFmtId="176" formatCode="mm/dd/yyyy"/>
    <numFmt numFmtId="177" formatCode="0\-0"/>
    <numFmt numFmtId="178" formatCode="##\-#"/>
    <numFmt numFmtId="179" formatCode="&quot;£ &quot;#,##0.00;[Red]\-&quot;£ &quot;#,##0.00"/>
    <numFmt numFmtId="180" formatCode="&quot;$&quot;#,##0.00"/>
    <numFmt numFmtId="181" formatCode="&quot;$&quot;#,##0.0000"/>
    <numFmt numFmtId="182" formatCode="&quot;$&quot;#,##0\);\(&quot;$&quot;#,##0\)"/>
    <numFmt numFmtId="183" formatCode="_-&quot;$&quot;* #,##0_-;\-&quot;$&quot;* #,##0_-;_-&quot;$&quot;* &quot;-&quot;??_-;_-@_-"/>
    <numFmt numFmtId="184" formatCode="0.0"/>
    <numFmt numFmtId="185" formatCode="mmm\-yyyy"/>
    <numFmt numFmtId="186" formatCode="0.0000000%"/>
    <numFmt numFmtId="187" formatCode="0.0000E+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sz val="10"/>
      <color rgb="FFC0000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9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5" fontId="3" fillId="0" borderId="0"/>
    <xf numFmtId="17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6" fontId="3" fillId="0" borderId="0"/>
    <xf numFmtId="177" fontId="3" fillId="0" borderId="0"/>
    <xf numFmtId="176" fontId="3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7" applyNumberFormat="0" applyAlignment="0" applyProtection="0"/>
    <xf numFmtId="0" fontId="23" fillId="8" borderId="1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10" fontId="10" fillId="34" borderId="1" applyNumberFormat="0" applyBorder="0" applyAlignment="0" applyProtection="0"/>
    <xf numFmtId="10" fontId="10" fillId="34" borderId="1" applyNumberFormat="0" applyBorder="0" applyAlignment="0" applyProtection="0"/>
    <xf numFmtId="0" fontId="19" fillId="6" borderId="7" applyNumberFormat="0" applyAlignment="0" applyProtection="0"/>
    <xf numFmtId="0" fontId="22" fillId="0" borderId="9" applyNumberFormat="0" applyFill="0" applyAlignment="0" applyProtection="0"/>
    <xf numFmtId="178" fontId="3" fillId="0" borderId="0"/>
    <xf numFmtId="171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8" fillId="5" borderId="0" applyNumberFormat="0" applyBorder="0" applyAlignment="0" applyProtection="0"/>
    <xf numFmtId="1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9" borderId="11" applyNumberFormat="0" applyFont="0" applyAlignment="0" applyProtection="0"/>
    <xf numFmtId="0" fontId="20" fillId="7" borderId="8" applyNumberFormat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5" borderId="1" applyNumberFormat="0" applyProtection="0">
      <alignment horizontal="left" vertical="center"/>
    </xf>
    <xf numFmtId="0" fontId="28" fillId="0" borderId="0" applyNumberFormat="0" applyBorder="0" applyAlignment="0"/>
    <xf numFmtId="0" fontId="29" fillId="0" borderId="0" applyNumberFormat="0" applyBorder="0" applyAlignment="0"/>
    <xf numFmtId="0" fontId="30" fillId="0" borderId="0" applyNumberFormat="0" applyBorder="0" applyAlignment="0"/>
    <xf numFmtId="0" fontId="11" fillId="0" borderId="13">
      <alignment horizontal="center" vertical="center"/>
    </xf>
    <xf numFmtId="0" fontId="12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4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167" fontId="0" fillId="0" borderId="0" xfId="0" applyNumberFormat="1" applyFill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3" fontId="0" fillId="0" borderId="0" xfId="1" applyNumberFormat="1" applyFont="1" applyAlignment="1">
      <alignment horizontal="center"/>
    </xf>
    <xf numFmtId="9" fontId="0" fillId="0" borderId="0" xfId="0" applyNumberFormat="1"/>
    <xf numFmtId="165" fontId="0" fillId="0" borderId="0" xfId="8" applyNumberFormat="1" applyFont="1" applyAlignment="1">
      <alignment horizontal="center"/>
    </xf>
    <xf numFmtId="166" fontId="0" fillId="0" borderId="0" xfId="0" applyNumberFormat="1"/>
    <xf numFmtId="43" fontId="0" fillId="0" borderId="0" xfId="0" applyNumberFormat="1" applyAlignment="1">
      <alignment horizontal="center"/>
    </xf>
    <xf numFmtId="3" fontId="0" fillId="0" borderId="0" xfId="0" applyNumberForma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0" xfId="0" applyNumberFormat="1" applyBorder="1"/>
    <xf numFmtId="3" fontId="4" fillId="0" borderId="0" xfId="0" applyNumberFormat="1" applyFont="1" applyBorder="1" applyAlignment="1">
      <alignment horizontal="center"/>
    </xf>
    <xf numFmtId="37" fontId="4" fillId="0" borderId="0" xfId="0" applyNumberFormat="1" applyFont="1" applyFill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37" fontId="0" fillId="0" borderId="0" xfId="0" applyNumberFormat="1" applyBorder="1" applyAlignment="1">
      <alignment horizontal="center"/>
    </xf>
    <xf numFmtId="165" fontId="0" fillId="0" borderId="0" xfId="8" applyNumberFormat="1" applyFont="1" applyBorder="1" applyAlignment="1">
      <alignment horizontal="center"/>
    </xf>
    <xf numFmtId="1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172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10" fontId="3" fillId="0" borderId="0" xfId="0" quotePrefix="1" applyNumberFormat="1" applyFont="1" applyAlignment="1">
      <alignment horizontal="center"/>
    </xf>
    <xf numFmtId="9" fontId="0" fillId="0" borderId="0" xfId="8" applyFont="1" applyFill="1" applyBorder="1" applyAlignment="1"/>
    <xf numFmtId="43" fontId="0" fillId="0" borderId="0" xfId="1" applyFont="1" applyFill="1" applyBorder="1" applyAlignment="1"/>
    <xf numFmtId="182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 wrapText="1"/>
    </xf>
    <xf numFmtId="1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0" fillId="0" borderId="0" xfId="0" applyNumberFormat="1"/>
    <xf numFmtId="183" fontId="3" fillId="0" borderId="0" xfId="93" applyNumberFormat="1" applyFont="1" applyAlignment="1">
      <alignment horizontal="center"/>
    </xf>
    <xf numFmtId="183" fontId="0" fillId="0" borderId="0" xfId="0" applyNumberFormat="1" applyAlignment="1">
      <alignment horizontal="center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7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17" fontId="0" fillId="0" borderId="1" xfId="0" applyNumberFormat="1" applyBorder="1"/>
    <xf numFmtId="3" fontId="4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0" xfId="8" applyFont="1"/>
    <xf numFmtId="170" fontId="0" fillId="0" borderId="0" xfId="0" applyNumberFormat="1" applyAlignment="1">
      <alignment horizontal="center"/>
    </xf>
    <xf numFmtId="3" fontId="5" fillId="36" borderId="0" xfId="0" applyNumberFormat="1" applyFont="1" applyFill="1" applyAlignment="1">
      <alignment horizontal="center"/>
    </xf>
    <xf numFmtId="3" fontId="0" fillId="36" borderId="0" xfId="0" applyNumberFormat="1" applyFill="1" applyAlignment="1">
      <alignment horizontal="center"/>
    </xf>
    <xf numFmtId="0" fontId="0" fillId="36" borderId="0" xfId="0" applyFill="1"/>
    <xf numFmtId="3" fontId="3" fillId="36" borderId="0" xfId="0" applyNumberFormat="1" applyFont="1" applyFill="1" applyAlignment="1">
      <alignment horizontal="center"/>
    </xf>
    <xf numFmtId="166" fontId="0" fillId="36" borderId="0" xfId="0" applyNumberFormat="1" applyFill="1" applyAlignment="1">
      <alignment horizontal="center"/>
    </xf>
    <xf numFmtId="14" fontId="0" fillId="0" borderId="0" xfId="0" applyNumberFormat="1"/>
    <xf numFmtId="43" fontId="0" fillId="0" borderId="0" xfId="1" applyFont="1"/>
    <xf numFmtId="171" fontId="0" fillId="0" borderId="0" xfId="1" applyNumberFormat="1" applyFont="1"/>
    <xf numFmtId="185" fontId="0" fillId="0" borderId="0" xfId="0" applyNumberFormat="1"/>
    <xf numFmtId="4" fontId="0" fillId="0" borderId="0" xfId="0" applyNumberFormat="1"/>
    <xf numFmtId="10" fontId="0" fillId="0" borderId="0" xfId="8" applyNumberFormat="1" applyFont="1"/>
    <xf numFmtId="43" fontId="0" fillId="0" borderId="0" xfId="0" applyNumberFormat="1"/>
    <xf numFmtId="186" fontId="0" fillId="0" borderId="0" xfId="8" applyNumberFormat="1" applyFont="1"/>
    <xf numFmtId="171" fontId="0" fillId="0" borderId="1" xfId="1" applyNumberFormat="1" applyFont="1" applyBorder="1" applyAlignment="1">
      <alignment horizontal="center" vertical="center"/>
    </xf>
    <xf numFmtId="171" fontId="0" fillId="0" borderId="0" xfId="1" applyNumberFormat="1" applyFont="1" applyBorder="1" applyAlignment="1">
      <alignment horizontal="center" vertical="center"/>
    </xf>
    <xf numFmtId="17" fontId="3" fillId="0" borderId="0" xfId="0" applyNumberFormat="1" applyFont="1" applyBorder="1"/>
    <xf numFmtId="0" fontId="0" fillId="0" borderId="1" xfId="0" applyNumberFormat="1" applyBorder="1"/>
    <xf numFmtId="0" fontId="3" fillId="0" borderId="0" xfId="0" applyFont="1" applyAlignment="1">
      <alignment horizontal="left"/>
    </xf>
    <xf numFmtId="0" fontId="0" fillId="0" borderId="0" xfId="0" applyNumberFormat="1"/>
    <xf numFmtId="0" fontId="3" fillId="0" borderId="0" xfId="0" applyNumberFormat="1" applyFont="1"/>
    <xf numFmtId="171" fontId="3" fillId="0" borderId="0" xfId="1" applyNumberFormat="1" applyFont="1"/>
    <xf numFmtId="171" fontId="0" fillId="0" borderId="0" xfId="0" applyNumberFormat="1"/>
    <xf numFmtId="0" fontId="3" fillId="0" borderId="0" xfId="0" applyFont="1"/>
    <xf numFmtId="174" fontId="0" fillId="0" borderId="0" xfId="0" applyNumberFormat="1"/>
    <xf numFmtId="2" fontId="0" fillId="0" borderId="0" xfId="0" applyNumberFormat="1"/>
    <xf numFmtId="0" fontId="32" fillId="0" borderId="0" xfId="97"/>
    <xf numFmtId="3" fontId="32" fillId="0" borderId="0" xfId="97" applyNumberFormat="1"/>
    <xf numFmtId="171" fontId="32" fillId="0" borderId="0" xfId="97" applyNumberFormat="1"/>
    <xf numFmtId="1" fontId="32" fillId="0" borderId="0" xfId="97" applyNumberFormat="1"/>
    <xf numFmtId="184" fontId="32" fillId="0" borderId="0" xfId="97" applyNumberFormat="1"/>
    <xf numFmtId="0" fontId="6" fillId="0" borderId="0" xfId="97" applyFont="1" applyAlignment="1">
      <alignment horizontal="right"/>
    </xf>
    <xf numFmtId="0" fontId="32" fillId="0" borderId="0" xfId="97" applyAlignment="1">
      <alignment horizontal="right"/>
    </xf>
    <xf numFmtId="0" fontId="3" fillId="0" borderId="0" xfId="97" applyFont="1" applyAlignment="1">
      <alignment horizontal="right"/>
    </xf>
    <xf numFmtId="0" fontId="24" fillId="0" borderId="0" xfId="97" applyFont="1"/>
    <xf numFmtId="184" fontId="24" fillId="0" borderId="0" xfId="97" applyNumberFormat="1" applyFont="1"/>
    <xf numFmtId="0" fontId="3" fillId="0" borderId="0" xfId="97" applyFont="1"/>
    <xf numFmtId="2" fontId="24" fillId="0" borderId="0" xfId="97" applyNumberFormat="1" applyFont="1"/>
    <xf numFmtId="0" fontId="33" fillId="0" borderId="0" xfId="97" applyFont="1"/>
    <xf numFmtId="0" fontId="32" fillId="0" borderId="0" xfId="97" applyAlignment="1">
      <alignment horizontal="center"/>
    </xf>
    <xf numFmtId="2" fontId="32" fillId="0" borderId="0" xfId="97" applyNumberFormat="1"/>
    <xf numFmtId="171" fontId="0" fillId="0" borderId="0" xfId="98" applyNumberFormat="1" applyFont="1"/>
    <xf numFmtId="11" fontId="32" fillId="0" borderId="0" xfId="97" applyNumberFormat="1"/>
    <xf numFmtId="43" fontId="32" fillId="0" borderId="0" xfId="97" applyNumberFormat="1"/>
    <xf numFmtId="171" fontId="32" fillId="0" borderId="0" xfId="1" applyNumberFormat="1" applyFont="1"/>
    <xf numFmtId="175" fontId="0" fillId="0" borderId="0" xfId="1" applyNumberFormat="1" applyFont="1"/>
    <xf numFmtId="171" fontId="34" fillId="0" borderId="0" xfId="1" applyNumberFormat="1" applyFont="1"/>
    <xf numFmtId="0" fontId="0" fillId="37" borderId="0" xfId="0" applyFill="1"/>
    <xf numFmtId="184" fontId="0" fillId="37" borderId="0" xfId="0" applyNumberFormat="1" applyFill="1"/>
    <xf numFmtId="1" fontId="0" fillId="37" borderId="0" xfId="0" applyNumberFormat="1" applyFill="1"/>
    <xf numFmtId="1" fontId="0" fillId="0" borderId="0" xfId="0" applyNumberFormat="1" applyFill="1"/>
    <xf numFmtId="175" fontId="3" fillId="38" borderId="0" xfId="1" applyNumberFormat="1" applyFont="1" applyFill="1"/>
    <xf numFmtId="0" fontId="0" fillId="38" borderId="0" xfId="0" applyFill="1"/>
    <xf numFmtId="0" fontId="0" fillId="39" borderId="0" xfId="0" applyFill="1"/>
    <xf numFmtId="1" fontId="0" fillId="39" borderId="0" xfId="0" applyNumberFormat="1" applyFill="1"/>
    <xf numFmtId="0" fontId="6" fillId="38" borderId="0" xfId="0" applyFont="1" applyFill="1"/>
    <xf numFmtId="0" fontId="6" fillId="37" borderId="0" xfId="0" applyFont="1" applyFill="1"/>
    <xf numFmtId="0" fontId="6" fillId="0" borderId="0" xfId="0" applyFont="1" applyFill="1"/>
    <xf numFmtId="0" fontId="6" fillId="39" borderId="0" xfId="0" applyFont="1" applyFill="1"/>
    <xf numFmtId="0" fontId="0" fillId="0" borderId="14" xfId="0" applyBorder="1" applyAlignment="1">
      <alignment horizontal="center"/>
    </xf>
    <xf numFmtId="171" fontId="0" fillId="0" borderId="14" xfId="0" applyNumberFormat="1" applyBorder="1"/>
    <xf numFmtId="171" fontId="0" fillId="0" borderId="15" xfId="0" applyNumberFormat="1" applyBorder="1"/>
    <xf numFmtId="171" fontId="0" fillId="0" borderId="16" xfId="0" applyNumberFormat="1" applyBorder="1"/>
    <xf numFmtId="0" fontId="0" fillId="0" borderId="17" xfId="0" applyBorder="1" applyAlignment="1">
      <alignment horizontal="center"/>
    </xf>
    <xf numFmtId="171" fontId="0" fillId="0" borderId="17" xfId="0" applyNumberFormat="1" applyBorder="1"/>
    <xf numFmtId="171" fontId="0" fillId="0" borderId="18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26" fillId="0" borderId="19" xfId="0" applyFont="1" applyBorder="1" applyAlignment="1">
      <alignment horizontal="center"/>
    </xf>
    <xf numFmtId="0" fontId="3" fillId="0" borderId="0" xfId="0" applyFont="1" applyFill="1" applyBorder="1"/>
    <xf numFmtId="171" fontId="26" fillId="0" borderId="21" xfId="0" applyNumberFormat="1" applyFont="1" applyBorder="1"/>
    <xf numFmtId="171" fontId="26" fillId="0" borderId="22" xfId="0" applyNumberFormat="1" applyFont="1" applyBorder="1"/>
    <xf numFmtId="171" fontId="26" fillId="0" borderId="23" xfId="0" applyNumberFormat="1" applyFont="1" applyBorder="1"/>
    <xf numFmtId="0" fontId="3" fillId="0" borderId="0" xfId="0" applyFont="1" applyAlignment="1">
      <alignment horizontal="center" vertical="center" wrapText="1"/>
    </xf>
    <xf numFmtId="0" fontId="26" fillId="37" borderId="14" xfId="0" applyFont="1" applyFill="1" applyBorder="1" applyAlignment="1">
      <alignment horizontal="center" vertical="center"/>
    </xf>
    <xf numFmtId="0" fontId="26" fillId="37" borderId="15" xfId="0" applyFont="1" applyFill="1" applyBorder="1" applyAlignment="1">
      <alignment horizontal="center" vertical="center"/>
    </xf>
    <xf numFmtId="0" fontId="26" fillId="37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11" fontId="0" fillId="0" borderId="0" xfId="0" applyNumberFormat="1"/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center" wrapText="1"/>
    </xf>
    <xf numFmtId="3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5" fontId="35" fillId="0" borderId="1" xfId="0" applyNumberFormat="1" applyFont="1" applyFill="1" applyBorder="1" applyAlignment="1">
      <alignment vertical="center"/>
    </xf>
    <xf numFmtId="171" fontId="0" fillId="0" borderId="0" xfId="1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17" fontId="0" fillId="0" borderId="0" xfId="0" applyNumberFormat="1" applyBorder="1" applyAlignment="1">
      <alignment wrapText="1"/>
    </xf>
    <xf numFmtId="3" fontId="3" fillId="0" borderId="0" xfId="0" applyNumberFormat="1" applyFont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" fontId="0" fillId="0" borderId="0" xfId="0" applyNumberFormat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37" fontId="3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1" fontId="6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0" xfId="0" applyNumberFormat="1" applyFont="1" applyAlignment="1">
      <alignment horizontal="center"/>
    </xf>
    <xf numFmtId="3" fontId="35" fillId="0" borderId="0" xfId="0" applyNumberFormat="1" applyFont="1"/>
    <xf numFmtId="0" fontId="35" fillId="0" borderId="1" xfId="0" applyFont="1" applyBorder="1" applyAlignment="1">
      <alignment horizontal="right"/>
    </xf>
    <xf numFmtId="3" fontId="35" fillId="0" borderId="1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69" fontId="0" fillId="0" borderId="0" xfId="8" applyNumberFormat="1" applyFont="1" applyAlignment="1">
      <alignment horizontal="center"/>
    </xf>
    <xf numFmtId="0" fontId="3" fillId="0" borderId="0" xfId="0" quotePrefix="1" applyFont="1"/>
    <xf numFmtId="169" fontId="6" fillId="0" borderId="0" xfId="8" applyNumberFormat="1" applyFont="1" applyAlignment="1">
      <alignment horizontal="center"/>
    </xf>
    <xf numFmtId="0" fontId="35" fillId="0" borderId="0" xfId="0" applyFont="1" applyAlignment="1">
      <alignment horizontal="right"/>
    </xf>
    <xf numFmtId="3" fontId="35" fillId="0" borderId="0" xfId="0" applyNumberFormat="1" applyFont="1" applyFill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43" fontId="0" fillId="0" borderId="0" xfId="1" applyNumberFormat="1" applyFont="1"/>
    <xf numFmtId="0" fontId="3" fillId="0" borderId="0" xfId="0" applyNumberFormat="1" applyFont="1" applyBorder="1"/>
    <xf numFmtId="37" fontId="0" fillId="0" borderId="0" xfId="0" applyNumberFormat="1"/>
    <xf numFmtId="0" fontId="3" fillId="0" borderId="0" xfId="0" applyFon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right"/>
    </xf>
    <xf numFmtId="169" fontId="3" fillId="0" borderId="0" xfId="8" applyNumberFormat="1" applyFont="1" applyAlignment="1">
      <alignment horizontal="center"/>
    </xf>
    <xf numFmtId="10" fontId="0" fillId="0" borderId="0" xfId="8" applyNumberFormat="1" applyFont="1" applyAlignment="1">
      <alignment horizontal="center"/>
    </xf>
    <xf numFmtId="175" fontId="0" fillId="0" borderId="0" xfId="1" applyNumberFormat="1" applyFont="1" applyFill="1" applyAlignment="1">
      <alignment horizontal="center"/>
    </xf>
    <xf numFmtId="169" fontId="3" fillId="0" borderId="0" xfId="0" applyNumberFormat="1" applyFont="1" applyAlignment="1">
      <alignment horizontal="center"/>
    </xf>
    <xf numFmtId="1" fontId="0" fillId="0" borderId="0" xfId="0" applyNumberFormat="1"/>
    <xf numFmtId="10" fontId="3" fillId="0" borderId="0" xfId="8" applyNumberFormat="1" applyFont="1" applyAlignment="1">
      <alignment horizontal="center"/>
    </xf>
    <xf numFmtId="165" fontId="34" fillId="0" borderId="0" xfId="8" applyNumberFormat="1" applyFont="1"/>
    <xf numFmtId="15" fontId="0" fillId="0" borderId="0" xfId="0" applyNumberFormat="1"/>
    <xf numFmtId="171" fontId="36" fillId="0" borderId="0" xfId="1" applyNumberFormat="1" applyFont="1"/>
    <xf numFmtId="175" fontId="36" fillId="0" borderId="0" xfId="1" applyNumberFormat="1" applyFont="1"/>
    <xf numFmtId="0" fontId="0" fillId="0" borderId="0" xfId="1" applyNumberFormat="1" applyFont="1"/>
    <xf numFmtId="175" fontId="37" fillId="0" borderId="0" xfId="1" applyNumberFormat="1" applyFont="1"/>
    <xf numFmtId="15" fontId="3" fillId="0" borderId="0" xfId="0" applyNumberFormat="1" applyFont="1"/>
    <xf numFmtId="187" fontId="0" fillId="0" borderId="0" xfId="0" applyNumberFormat="1"/>
    <xf numFmtId="171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43" fontId="6" fillId="0" borderId="0" xfId="1" applyNumberFormat="1" applyFont="1" applyAlignment="1">
      <alignment horizontal="center" wrapText="1"/>
    </xf>
    <xf numFmtId="0" fontId="8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"/>
    </xf>
    <xf numFmtId="11" fontId="0" fillId="0" borderId="0" xfId="0" applyNumberForma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99">
    <cellStyle name="$" xfId="10" xr:uid="{00000000-0005-0000-0000-000000000000}"/>
    <cellStyle name="$.00" xfId="11" xr:uid="{00000000-0005-0000-0000-000001000000}"/>
    <cellStyle name="$_9. Rev2Cost_GDPIPI" xfId="12" xr:uid="{00000000-0005-0000-0000-000002000000}"/>
    <cellStyle name="$_lists" xfId="13" xr:uid="{00000000-0005-0000-0000-000003000000}"/>
    <cellStyle name="$_lists_4. Current Monthly Fixed Charge" xfId="14" xr:uid="{00000000-0005-0000-0000-000004000000}"/>
    <cellStyle name="$_Sheet4" xfId="15" xr:uid="{00000000-0005-0000-0000-000005000000}"/>
    <cellStyle name="$M" xfId="16" xr:uid="{00000000-0005-0000-0000-000006000000}"/>
    <cellStyle name="$M.00" xfId="17" xr:uid="{00000000-0005-0000-0000-000007000000}"/>
    <cellStyle name="$M_9. Rev2Cost_GDPIPI" xfId="18" xr:uid="{00000000-0005-0000-0000-000008000000}"/>
    <cellStyle name="20% - Accent1 2" xfId="19" xr:uid="{00000000-0005-0000-0000-000009000000}"/>
    <cellStyle name="20% - Accent2 2" xfId="20" xr:uid="{00000000-0005-0000-0000-00000A000000}"/>
    <cellStyle name="20% - Accent3 2" xfId="21" xr:uid="{00000000-0005-0000-0000-00000B000000}"/>
    <cellStyle name="20% - Accent4 2" xfId="22" xr:uid="{00000000-0005-0000-0000-00000C000000}"/>
    <cellStyle name="20% - Accent5 2" xfId="23" xr:uid="{00000000-0005-0000-0000-00000D000000}"/>
    <cellStyle name="20% - Accent6 2" xfId="24" xr:uid="{00000000-0005-0000-0000-00000E000000}"/>
    <cellStyle name="40% - Accent1 2" xfId="25" xr:uid="{00000000-0005-0000-0000-00000F000000}"/>
    <cellStyle name="40% - Accent2 2" xfId="26" xr:uid="{00000000-0005-0000-0000-000010000000}"/>
    <cellStyle name="40% - Accent3 2" xfId="27" xr:uid="{00000000-0005-0000-0000-000011000000}"/>
    <cellStyle name="40% - Accent4 2" xfId="28" xr:uid="{00000000-0005-0000-0000-000012000000}"/>
    <cellStyle name="40% - Accent5 2" xfId="29" xr:uid="{00000000-0005-0000-0000-000013000000}"/>
    <cellStyle name="40% - Accent6 2" xfId="30" xr:uid="{00000000-0005-0000-0000-000014000000}"/>
    <cellStyle name="60% - Accent1 2" xfId="31" xr:uid="{00000000-0005-0000-0000-000015000000}"/>
    <cellStyle name="60% - Accent2 2" xfId="32" xr:uid="{00000000-0005-0000-0000-000016000000}"/>
    <cellStyle name="60% - Accent3 2" xfId="33" xr:uid="{00000000-0005-0000-0000-000017000000}"/>
    <cellStyle name="60% - Accent4 2" xfId="34" xr:uid="{00000000-0005-0000-0000-000018000000}"/>
    <cellStyle name="60% - Accent5 2" xfId="35" xr:uid="{00000000-0005-0000-0000-000019000000}"/>
    <cellStyle name="60% - Accent6 2" xfId="36" xr:uid="{00000000-0005-0000-0000-00001A000000}"/>
    <cellStyle name="Accent1 2" xfId="37" xr:uid="{00000000-0005-0000-0000-00001B000000}"/>
    <cellStyle name="Accent2 2" xfId="38" xr:uid="{00000000-0005-0000-0000-00001C000000}"/>
    <cellStyle name="Accent3 2" xfId="39" xr:uid="{00000000-0005-0000-0000-00001D000000}"/>
    <cellStyle name="Accent4 2" xfId="40" xr:uid="{00000000-0005-0000-0000-00001E000000}"/>
    <cellStyle name="Accent5 2" xfId="41" xr:uid="{00000000-0005-0000-0000-00001F000000}"/>
    <cellStyle name="Accent6 2" xfId="42" xr:uid="{00000000-0005-0000-0000-000020000000}"/>
    <cellStyle name="Bad 2" xfId="43" xr:uid="{00000000-0005-0000-0000-000021000000}"/>
    <cellStyle name="Calculation 2" xfId="44" xr:uid="{00000000-0005-0000-0000-000022000000}"/>
    <cellStyle name="Check Cell 2" xfId="45" xr:uid="{00000000-0005-0000-0000-000023000000}"/>
    <cellStyle name="Comma" xfId="1" builtinId="3"/>
    <cellStyle name="Comma 2" xfId="2" xr:uid="{00000000-0005-0000-0000-000025000000}"/>
    <cellStyle name="Comma 3" xfId="3" xr:uid="{00000000-0005-0000-0000-000026000000}"/>
    <cellStyle name="Comma 3 2" xfId="46" xr:uid="{00000000-0005-0000-0000-000027000000}"/>
    <cellStyle name="Comma 4" xfId="47" xr:uid="{00000000-0005-0000-0000-000028000000}"/>
    <cellStyle name="Comma 5" xfId="48" xr:uid="{00000000-0005-0000-0000-000029000000}"/>
    <cellStyle name="Comma 6" xfId="96" xr:uid="{00000000-0005-0000-0000-00002A000000}"/>
    <cellStyle name="Comma 7" xfId="98" xr:uid="{B0A386BC-AAED-41C7-B877-153BEDE85987}"/>
    <cellStyle name="Comma0" xfId="4" xr:uid="{00000000-0005-0000-0000-00002D000000}"/>
    <cellStyle name="Currency" xfId="93" builtinId="4"/>
    <cellStyle name="Currency 2" xfId="49" xr:uid="{00000000-0005-0000-0000-00002F000000}"/>
    <cellStyle name="Currency 3" xfId="50" xr:uid="{00000000-0005-0000-0000-000030000000}"/>
    <cellStyle name="Currency 4" xfId="51" xr:uid="{00000000-0005-0000-0000-000031000000}"/>
    <cellStyle name="Currency0" xfId="5" xr:uid="{00000000-0005-0000-0000-000032000000}"/>
    <cellStyle name="Date" xfId="6" xr:uid="{00000000-0005-0000-0000-000033000000}"/>
    <cellStyle name="Explanatory Text 2" xfId="52" xr:uid="{00000000-0005-0000-0000-000034000000}"/>
    <cellStyle name="Fixed" xfId="7" xr:uid="{00000000-0005-0000-0000-000035000000}"/>
    <cellStyle name="Good 2" xfId="53" xr:uid="{00000000-0005-0000-0000-000036000000}"/>
    <cellStyle name="Grey" xfId="54" xr:uid="{00000000-0005-0000-0000-000037000000}"/>
    <cellStyle name="Grey 2" xfId="55" xr:uid="{00000000-0005-0000-0000-000038000000}"/>
    <cellStyle name="Heading 1 2" xfId="56" xr:uid="{00000000-0005-0000-0000-000039000000}"/>
    <cellStyle name="Heading 2 2" xfId="57" xr:uid="{00000000-0005-0000-0000-00003A000000}"/>
    <cellStyle name="Heading 3 2" xfId="58" xr:uid="{00000000-0005-0000-0000-00003B000000}"/>
    <cellStyle name="Heading 4 2" xfId="59" xr:uid="{00000000-0005-0000-0000-00003C000000}"/>
    <cellStyle name="Input [yellow]" xfId="60" xr:uid="{00000000-0005-0000-0000-00003D000000}"/>
    <cellStyle name="Input [yellow] 2" xfId="61" xr:uid="{00000000-0005-0000-0000-00003E000000}"/>
    <cellStyle name="Input 2" xfId="62" xr:uid="{00000000-0005-0000-0000-00003F000000}"/>
    <cellStyle name="Linked Cell 2" xfId="63" xr:uid="{00000000-0005-0000-0000-000040000000}"/>
    <cellStyle name="M" xfId="64" xr:uid="{00000000-0005-0000-0000-000041000000}"/>
    <cellStyle name="M.00" xfId="65" xr:uid="{00000000-0005-0000-0000-000042000000}"/>
    <cellStyle name="M_9. Rev2Cost_GDPIPI" xfId="66" xr:uid="{00000000-0005-0000-0000-000043000000}"/>
    <cellStyle name="M_lists" xfId="67" xr:uid="{00000000-0005-0000-0000-000044000000}"/>
    <cellStyle name="M_lists_4. Current Monthly Fixed Charge" xfId="68" xr:uid="{00000000-0005-0000-0000-000045000000}"/>
    <cellStyle name="M_Sheet4" xfId="69" xr:uid="{00000000-0005-0000-0000-000046000000}"/>
    <cellStyle name="Neutral 2" xfId="70" xr:uid="{00000000-0005-0000-0000-000047000000}"/>
    <cellStyle name="Normal" xfId="0" builtinId="0"/>
    <cellStyle name="Normal - Style1" xfId="71" xr:uid="{00000000-0005-0000-0000-000049000000}"/>
    <cellStyle name="Normal 2" xfId="9" xr:uid="{00000000-0005-0000-0000-00004A000000}"/>
    <cellStyle name="Normal 3" xfId="72" xr:uid="{00000000-0005-0000-0000-00004B000000}"/>
    <cellStyle name="Normal 4" xfId="73" xr:uid="{00000000-0005-0000-0000-00004C000000}"/>
    <cellStyle name="Normal 5" xfId="74" xr:uid="{00000000-0005-0000-0000-00004D000000}"/>
    <cellStyle name="Normal 5 2" xfId="75" xr:uid="{00000000-0005-0000-0000-00004E000000}"/>
    <cellStyle name="Normal 5 2 3" xfId="94" xr:uid="{00000000-0005-0000-0000-00004F000000}"/>
    <cellStyle name="Normal 6" xfId="76" xr:uid="{00000000-0005-0000-0000-000050000000}"/>
    <cellStyle name="Normal 7" xfId="77" xr:uid="{00000000-0005-0000-0000-000051000000}"/>
    <cellStyle name="Normal 8" xfId="97" xr:uid="{56BDF3E6-3149-4549-9436-2958820A006C}"/>
    <cellStyle name="Note 2" xfId="78" xr:uid="{00000000-0005-0000-0000-000054000000}"/>
    <cellStyle name="Output 2" xfId="79" xr:uid="{00000000-0005-0000-0000-000055000000}"/>
    <cellStyle name="Percent" xfId="8" builtinId="5"/>
    <cellStyle name="Percent [2]" xfId="80" xr:uid="{00000000-0005-0000-0000-000057000000}"/>
    <cellStyle name="Percent 2" xfId="81" xr:uid="{00000000-0005-0000-0000-000058000000}"/>
    <cellStyle name="Percent 3" xfId="82" xr:uid="{00000000-0005-0000-0000-000059000000}"/>
    <cellStyle name="Percent 3 2" xfId="83" xr:uid="{00000000-0005-0000-0000-00005A000000}"/>
    <cellStyle name="Percent 4" xfId="84" xr:uid="{00000000-0005-0000-0000-00005B000000}"/>
    <cellStyle name="Percent 5" xfId="95" xr:uid="{00000000-0005-0000-0000-00005C000000}"/>
    <cellStyle name="Style 23" xfId="85" xr:uid="{00000000-0005-0000-0000-00005D000000}"/>
    <cellStyle name="STYLE1" xfId="86" xr:uid="{00000000-0005-0000-0000-00005E000000}"/>
    <cellStyle name="STYLE2" xfId="87" xr:uid="{00000000-0005-0000-0000-00005F000000}"/>
    <cellStyle name="STYLE4" xfId="88" xr:uid="{00000000-0005-0000-0000-000060000000}"/>
    <cellStyle name="Subtotal" xfId="89" xr:uid="{00000000-0005-0000-0000-000061000000}"/>
    <cellStyle name="Title 2" xfId="90" xr:uid="{00000000-0005-0000-0000-000062000000}"/>
    <cellStyle name="Total 2" xfId="91" xr:uid="{00000000-0005-0000-0000-000063000000}"/>
    <cellStyle name="Warning Text 2" xfId="92" xr:uid="{00000000-0005-0000-0000-00006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Summary!$B$13:$M$13</c:f>
              <c:numCache>
                <c:formatCode>#,##0</c:formatCode>
                <c:ptCount val="12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  <c:pt idx="10">
                  <c:v>91655701.269563213</c:v>
                </c:pt>
                <c:pt idx="11">
                  <c:v>93507178.852956474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78-45BE-B9FC-CBCBD9C18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(WN)'!$H$67:$H$78</c:f>
              <c:numCache>
                <c:formatCode>#,##0;\(#,##0\)</c:formatCode>
                <c:ptCount val="12"/>
                <c:pt idx="0">
                  <c:v>90014267.892237678</c:v>
                </c:pt>
                <c:pt idx="1">
                  <c:v>90192044.430023104</c:v>
                </c:pt>
                <c:pt idx="2">
                  <c:v>88820818.766170621</c:v>
                </c:pt>
                <c:pt idx="3">
                  <c:v>90166364.701303646</c:v>
                </c:pt>
                <c:pt idx="4">
                  <c:v>92074058.435244784</c:v>
                </c:pt>
                <c:pt idx="5">
                  <c:v>89751920.126690745</c:v>
                </c:pt>
                <c:pt idx="6">
                  <c:v>89675314.198201418</c:v>
                </c:pt>
                <c:pt idx="7">
                  <c:v>90810882.31604068</c:v>
                </c:pt>
                <c:pt idx="8">
                  <c:v>92881342.171778485</c:v>
                </c:pt>
                <c:pt idx="9">
                  <c:v>99200607.59869352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F17-9375-50F6ADE566AC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(WN)'!$H$5:$H$14</c:f>
              <c:numCache>
                <c:formatCode>#,##0</c:formatCode>
                <c:ptCount val="10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F17-9375-50F6ADE5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GS&lt;50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(WN)'!$I$67:$I$78</c:f>
              <c:numCache>
                <c:formatCode>#,##0;\(#,##0\)</c:formatCode>
                <c:ptCount val="12"/>
                <c:pt idx="0">
                  <c:v>30047517.556196019</c:v>
                </c:pt>
                <c:pt idx="1">
                  <c:v>29379690.122373909</c:v>
                </c:pt>
                <c:pt idx="2">
                  <c:v>28931077.750236057</c:v>
                </c:pt>
                <c:pt idx="3">
                  <c:v>30092140.842488915</c:v>
                </c:pt>
                <c:pt idx="4">
                  <c:v>29039917.288755145</c:v>
                </c:pt>
                <c:pt idx="5">
                  <c:v>27896571.109024752</c:v>
                </c:pt>
                <c:pt idx="6">
                  <c:v>28217905.229417656</c:v>
                </c:pt>
                <c:pt idx="7">
                  <c:v>27567614.838307876</c:v>
                </c:pt>
                <c:pt idx="8">
                  <c:v>28469673.872950766</c:v>
                </c:pt>
                <c:pt idx="9">
                  <c:v>26650639.185638007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C-4BB1-BE1C-2DD0B1D6E96B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(WN)'!$I$5:$I$14</c:f>
              <c:numCache>
                <c:formatCode>#,##0</c:formatCode>
                <c:ptCount val="10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C-4BB1-BE1C-2DD0B1D6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GS&gt;50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(WN)'!$J$67:$J$78</c:f>
              <c:numCache>
                <c:formatCode>#,##0;\(#,##0\)</c:formatCode>
                <c:ptCount val="12"/>
                <c:pt idx="0">
                  <c:v>63427165.420680791</c:v>
                </c:pt>
                <c:pt idx="1">
                  <c:v>60890605.137019321</c:v>
                </c:pt>
                <c:pt idx="2">
                  <c:v>59441913.341141574</c:v>
                </c:pt>
                <c:pt idx="3">
                  <c:v>57830455.807923771</c:v>
                </c:pt>
                <c:pt idx="4">
                  <c:v>62965471.747153424</c:v>
                </c:pt>
                <c:pt idx="5">
                  <c:v>58479180.464634262</c:v>
                </c:pt>
                <c:pt idx="6">
                  <c:v>48703321.150028519</c:v>
                </c:pt>
                <c:pt idx="7">
                  <c:v>58084355.093658142</c:v>
                </c:pt>
                <c:pt idx="8">
                  <c:v>59818342.98448085</c:v>
                </c:pt>
                <c:pt idx="9">
                  <c:v>52391839.772131741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4-4C1D-A9C1-FCCC54FA40D5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(WN)'!$J$5:$J$14</c:f>
              <c:numCache>
                <c:formatCode>#,##0</c:formatCode>
                <c:ptCount val="10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47449869.999999993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4-4C1D-A9C1-FCCC54FA4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Model'!$B$1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Model'!$B$17:$B$26</c:f>
              <c:numCache>
                <c:formatCode>0.0000%</c:formatCode>
                <c:ptCount val="10"/>
                <c:pt idx="0">
                  <c:v>3.0386825964663017E-3</c:v>
                </c:pt>
                <c:pt idx="1">
                  <c:v>3.0667993549205901E-3</c:v>
                </c:pt>
                <c:pt idx="2">
                  <c:v>3.06074685787271E-3</c:v>
                </c:pt>
                <c:pt idx="3">
                  <c:v>3.2491309826356953E-3</c:v>
                </c:pt>
                <c:pt idx="4">
                  <c:v>3.135053325070151E-3</c:v>
                </c:pt>
                <c:pt idx="5">
                  <c:v>3.379137684492398E-3</c:v>
                </c:pt>
                <c:pt idx="6">
                  <c:v>3.602785423858907E-3</c:v>
                </c:pt>
                <c:pt idx="7">
                  <c:v>3.0627252355582882E-3</c:v>
                </c:pt>
                <c:pt idx="8">
                  <c:v>3.5479328517185331E-3</c:v>
                </c:pt>
                <c:pt idx="9">
                  <c:v>3.8859699503430022E-3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9-4575-B65B-231EBD90E7B2}"/>
            </c:ext>
          </c:extLst>
        </c:ser>
        <c:ser>
          <c:idx val="1"/>
          <c:order val="1"/>
          <c:tx>
            <c:v>Forecast GS&gt;50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Model'!$B$36:$B$38)</c:f>
              <c:numCache>
                <c:formatCode>#,##0</c:formatCode>
                <c:ptCount val="12"/>
                <c:pt idx="9" formatCode="0.0000%">
                  <c:v>3.3455269041396556E-3</c:v>
                </c:pt>
                <c:pt idx="10" formatCode="0.0000%">
                  <c:v>3.3455269041396556E-3</c:v>
                </c:pt>
                <c:pt idx="11" formatCode="0.0000%">
                  <c:v>3.3455269041396556E-3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49-4575-B65B-231EBD90E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Model'!$D$1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Model'!$D$17:$D$26</c:f>
              <c:numCache>
                <c:formatCode>0.0000%</c:formatCode>
                <c:ptCount val="10"/>
                <c:pt idx="0">
                  <c:v>6.6005555105962487E-5</c:v>
                </c:pt>
                <c:pt idx="1">
                  <c:v>1.6817230204479623E-3</c:v>
                </c:pt>
                <c:pt idx="2">
                  <c:v>2.5710681523940203E-3</c:v>
                </c:pt>
                <c:pt idx="3">
                  <c:v>2.6353614953103766E-3</c:v>
                </c:pt>
                <c:pt idx="4">
                  <c:v>2.6862439948575679E-3</c:v>
                </c:pt>
                <c:pt idx="5">
                  <c:v>2.6742143275424557E-3</c:v>
                </c:pt>
                <c:pt idx="6">
                  <c:v>2.6506102948394908E-3</c:v>
                </c:pt>
                <c:pt idx="7">
                  <c:v>2.5876248679442089E-3</c:v>
                </c:pt>
                <c:pt idx="8">
                  <c:v>2.5225187858174854E-3</c:v>
                </c:pt>
                <c:pt idx="9">
                  <c:v>2.7120100283102582E-3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0-4954-8E89-16B927744FC7}"/>
            </c:ext>
          </c:extLst>
        </c:ser>
        <c:ser>
          <c:idx val="1"/>
          <c:order val="1"/>
          <c:tx>
            <c:v>Forecast Sentinel 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Model'!$D$36:$D$38)</c:f>
              <c:numCache>
                <c:formatCode>#,##0</c:formatCode>
                <c:ptCount val="12"/>
                <c:pt idx="9" formatCode="0.0000%">
                  <c:v>2.6293956608907801E-3</c:v>
                </c:pt>
                <c:pt idx="10" formatCode="0.0000%">
                  <c:v>2.6293956608907801E-3</c:v>
                </c:pt>
                <c:pt idx="11" formatCode="0.0000%">
                  <c:v>2.6293956608907801E-3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0-4954-8E89-16B92774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Model'!$C$1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Model'!$C$17:$C$26</c:f>
              <c:numCache>
                <c:formatCode>0.0000%</c:formatCode>
                <c:ptCount val="10"/>
                <c:pt idx="0">
                  <c:v>2.5654341596466116E-3</c:v>
                </c:pt>
                <c:pt idx="1">
                  <c:v>2.7078762988008696E-3</c:v>
                </c:pt>
                <c:pt idx="2">
                  <c:v>2.70576048887558E-3</c:v>
                </c:pt>
                <c:pt idx="3">
                  <c:v>2.8017981897342985E-3</c:v>
                </c:pt>
                <c:pt idx="4">
                  <c:v>2.7015710936087612E-3</c:v>
                </c:pt>
                <c:pt idx="5">
                  <c:v>3.004634254634255E-3</c:v>
                </c:pt>
                <c:pt idx="6">
                  <c:v>2.7214166789683073E-3</c:v>
                </c:pt>
                <c:pt idx="7">
                  <c:v>2.9052528293273274E-3</c:v>
                </c:pt>
                <c:pt idx="8">
                  <c:v>2.7745932881464101E-3</c:v>
                </c:pt>
                <c:pt idx="9">
                  <c:v>3.0596696342044829E-3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8E5-BBDE-A046A988A5C6}"/>
            </c:ext>
          </c:extLst>
        </c:ser>
        <c:ser>
          <c:idx val="1"/>
          <c:order val="1"/>
          <c:tx>
            <c:v>Forecast Streetlights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Model'!$C$36:$C$38)</c:f>
              <c:numCache>
                <c:formatCode>#,##0</c:formatCode>
                <c:ptCount val="12"/>
                <c:pt idx="9" formatCode="0.0000%">
                  <c:v>2.8931133370561565E-3</c:v>
                </c:pt>
                <c:pt idx="10" formatCode="0.0000%">
                  <c:v>2.8931133370561565E-3</c:v>
                </c:pt>
                <c:pt idx="11" formatCode="0.0000%">
                  <c:v>2.8931133370561565E-3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8E5-BBDE-A046A988A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Model'!$E$1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Model'!$E$17:$E$26</c:f>
              <c:numCache>
                <c:formatCode>0.0000%</c:formatCode>
                <c:ptCount val="10"/>
                <c:pt idx="0">
                  <c:v>2.1598350929939772E-3</c:v>
                </c:pt>
                <c:pt idx="1">
                  <c:v>2.2189193380421335E-3</c:v>
                </c:pt>
                <c:pt idx="2">
                  <c:v>2.2210789283270633E-3</c:v>
                </c:pt>
                <c:pt idx="3">
                  <c:v>2.2306950530509725E-3</c:v>
                </c:pt>
                <c:pt idx="4">
                  <c:v>2.1844426888035133E-3</c:v>
                </c:pt>
                <c:pt idx="5">
                  <c:v>2.286002951693001E-3</c:v>
                </c:pt>
                <c:pt idx="6">
                  <c:v>2.2961635782201739E-3</c:v>
                </c:pt>
                <c:pt idx="7">
                  <c:v>2.354530844542129E-3</c:v>
                </c:pt>
                <c:pt idx="8">
                  <c:v>2.2949089271579299E-3</c:v>
                </c:pt>
                <c:pt idx="9">
                  <c:v>2.7949367697881391E-3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6-4547-A623-2915736BD893}"/>
            </c:ext>
          </c:extLst>
        </c:ser>
        <c:ser>
          <c:idx val="1"/>
          <c:order val="1"/>
          <c:tx>
            <c:v>Forecast Embedded Distributor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Model'!$A$37:$A$38)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Model'!$E$36:$E$38)</c:f>
              <c:numCache>
                <c:formatCode>#,##0</c:formatCode>
                <c:ptCount val="12"/>
                <c:pt idx="9" formatCode="0.0000%">
                  <c:v>2.4053086142802747E-3</c:v>
                </c:pt>
                <c:pt idx="10" formatCode="0.0000%">
                  <c:v>2.4053086142802747E-3</c:v>
                </c:pt>
                <c:pt idx="11" formatCode="0.0000%">
                  <c:v>2.4053086142802747E-3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6-4547-A623-2915736B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Model'!$O$1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'Rate Class Customer Model'!$O$2:$O$164</c:f>
              <c:numCache>
                <c:formatCode>#,##0</c:formatCode>
                <c:ptCount val="163"/>
                <c:pt idx="0">
                  <c:v>9904.4166666666661</c:v>
                </c:pt>
                <c:pt idx="1">
                  <c:v>9909.8333333333321</c:v>
                </c:pt>
                <c:pt idx="2">
                  <c:v>9915.2499999999982</c:v>
                </c:pt>
                <c:pt idx="3">
                  <c:v>9920.6666666666642</c:v>
                </c:pt>
                <c:pt idx="4">
                  <c:v>9926.0833333333303</c:v>
                </c:pt>
                <c:pt idx="5">
                  <c:v>9931.4999999999964</c:v>
                </c:pt>
                <c:pt idx="6">
                  <c:v>9936.9166666666624</c:v>
                </c:pt>
                <c:pt idx="7">
                  <c:v>9942.3333333333285</c:v>
                </c:pt>
                <c:pt idx="8">
                  <c:v>9947.7499999999945</c:v>
                </c:pt>
                <c:pt idx="9">
                  <c:v>9953.1666666666606</c:v>
                </c:pt>
                <c:pt idx="10">
                  <c:v>9958.5833333333267</c:v>
                </c:pt>
                <c:pt idx="11">
                  <c:v>9964</c:v>
                </c:pt>
                <c:pt idx="12">
                  <c:v>9971.25</c:v>
                </c:pt>
                <c:pt idx="13">
                  <c:v>9978.5</c:v>
                </c:pt>
                <c:pt idx="14">
                  <c:v>9985.75</c:v>
                </c:pt>
                <c:pt idx="15">
                  <c:v>9993</c:v>
                </c:pt>
                <c:pt idx="16">
                  <c:v>10000.25</c:v>
                </c:pt>
                <c:pt idx="17">
                  <c:v>10007.5</c:v>
                </c:pt>
                <c:pt idx="18">
                  <c:v>10014.75</c:v>
                </c:pt>
                <c:pt idx="19">
                  <c:v>10022</c:v>
                </c:pt>
                <c:pt idx="20">
                  <c:v>10029.25</c:v>
                </c:pt>
                <c:pt idx="21">
                  <c:v>10036.5</c:v>
                </c:pt>
                <c:pt idx="22">
                  <c:v>10043.75</c:v>
                </c:pt>
                <c:pt idx="23">
                  <c:v>10051</c:v>
                </c:pt>
                <c:pt idx="24">
                  <c:v>10056.25</c:v>
                </c:pt>
                <c:pt idx="25">
                  <c:v>10061.5</c:v>
                </c:pt>
                <c:pt idx="26">
                  <c:v>10066.75</c:v>
                </c:pt>
                <c:pt idx="27">
                  <c:v>10072</c:v>
                </c:pt>
                <c:pt idx="28">
                  <c:v>10077.25</c:v>
                </c:pt>
                <c:pt idx="29">
                  <c:v>10082.5</c:v>
                </c:pt>
                <c:pt idx="30">
                  <c:v>10087.75</c:v>
                </c:pt>
                <c:pt idx="31">
                  <c:v>10093</c:v>
                </c:pt>
                <c:pt idx="32">
                  <c:v>10098.25</c:v>
                </c:pt>
                <c:pt idx="33">
                  <c:v>10103.5</c:v>
                </c:pt>
                <c:pt idx="34">
                  <c:v>10108.75</c:v>
                </c:pt>
                <c:pt idx="35">
                  <c:v>10114</c:v>
                </c:pt>
                <c:pt idx="36">
                  <c:v>10120.583333333334</c:v>
                </c:pt>
                <c:pt idx="37">
                  <c:v>10127.166666666668</c:v>
                </c:pt>
                <c:pt idx="38">
                  <c:v>10133.750000000002</c:v>
                </c:pt>
                <c:pt idx="39">
                  <c:v>10140.333333333336</c:v>
                </c:pt>
                <c:pt idx="40">
                  <c:v>10146.91666666667</c:v>
                </c:pt>
                <c:pt idx="41">
                  <c:v>10153.500000000004</c:v>
                </c:pt>
                <c:pt idx="42">
                  <c:v>10160.083333333338</c:v>
                </c:pt>
                <c:pt idx="43">
                  <c:v>10166.666666666672</c:v>
                </c:pt>
                <c:pt idx="44">
                  <c:v>10173.250000000005</c:v>
                </c:pt>
                <c:pt idx="45">
                  <c:v>10179.833333333339</c:v>
                </c:pt>
                <c:pt idx="46">
                  <c:v>10186.416666666673</c:v>
                </c:pt>
                <c:pt idx="47">
                  <c:v>10193</c:v>
                </c:pt>
                <c:pt idx="48">
                  <c:v>10197.083333333334</c:v>
                </c:pt>
                <c:pt idx="49">
                  <c:v>10201.166666666668</c:v>
                </c:pt>
                <c:pt idx="50">
                  <c:v>10205.250000000002</c:v>
                </c:pt>
                <c:pt idx="51">
                  <c:v>10209.333333333336</c:v>
                </c:pt>
                <c:pt idx="52">
                  <c:v>10213.41666666667</c:v>
                </c:pt>
                <c:pt idx="53">
                  <c:v>10217.500000000004</c:v>
                </c:pt>
                <c:pt idx="54">
                  <c:v>10221.583333333338</c:v>
                </c:pt>
                <c:pt idx="55">
                  <c:v>10225.666666666672</c:v>
                </c:pt>
                <c:pt idx="56">
                  <c:v>10229.750000000005</c:v>
                </c:pt>
                <c:pt idx="57">
                  <c:v>10233.833333333339</c:v>
                </c:pt>
                <c:pt idx="58">
                  <c:v>10237.916666666673</c:v>
                </c:pt>
                <c:pt idx="59">
                  <c:v>10242</c:v>
                </c:pt>
                <c:pt idx="60">
                  <c:v>10247.833333333334</c:v>
                </c:pt>
                <c:pt idx="61">
                  <c:v>10253.666666666668</c:v>
                </c:pt>
                <c:pt idx="62">
                  <c:v>10259.500000000002</c:v>
                </c:pt>
                <c:pt idx="63">
                  <c:v>10265.333333333336</c:v>
                </c:pt>
                <c:pt idx="64">
                  <c:v>10271.16666666667</c:v>
                </c:pt>
                <c:pt idx="65">
                  <c:v>10277.000000000004</c:v>
                </c:pt>
                <c:pt idx="66">
                  <c:v>10282.833333333338</c:v>
                </c:pt>
                <c:pt idx="67">
                  <c:v>10288.666666666672</c:v>
                </c:pt>
                <c:pt idx="68">
                  <c:v>10294.500000000005</c:v>
                </c:pt>
                <c:pt idx="69">
                  <c:v>10300.333333333339</c:v>
                </c:pt>
                <c:pt idx="70">
                  <c:v>10306.166666666673</c:v>
                </c:pt>
                <c:pt idx="71">
                  <c:v>10312</c:v>
                </c:pt>
                <c:pt idx="72">
                  <c:v>10322.416666666666</c:v>
                </c:pt>
                <c:pt idx="73">
                  <c:v>10332.833333333332</c:v>
                </c:pt>
                <c:pt idx="74">
                  <c:v>10343.249999999998</c:v>
                </c:pt>
                <c:pt idx="75">
                  <c:v>10353.666666666664</c:v>
                </c:pt>
                <c:pt idx="76">
                  <c:v>10364.08333333333</c:v>
                </c:pt>
                <c:pt idx="77">
                  <c:v>10374.499999999996</c:v>
                </c:pt>
                <c:pt idx="78">
                  <c:v>10384.916666666662</c:v>
                </c:pt>
                <c:pt idx="79">
                  <c:v>10395.333333333328</c:v>
                </c:pt>
                <c:pt idx="80">
                  <c:v>10405.749999999995</c:v>
                </c:pt>
                <c:pt idx="81">
                  <c:v>10416.166666666661</c:v>
                </c:pt>
                <c:pt idx="82">
                  <c:v>10426.583333333327</c:v>
                </c:pt>
                <c:pt idx="83">
                  <c:v>10437</c:v>
                </c:pt>
                <c:pt idx="84">
                  <c:v>10448.25</c:v>
                </c:pt>
                <c:pt idx="85">
                  <c:v>10459.5</c:v>
                </c:pt>
                <c:pt idx="86">
                  <c:v>10470.75</c:v>
                </c:pt>
                <c:pt idx="87">
                  <c:v>10482</c:v>
                </c:pt>
                <c:pt idx="88">
                  <c:v>10493.25</c:v>
                </c:pt>
                <c:pt idx="89">
                  <c:v>10504.5</c:v>
                </c:pt>
                <c:pt idx="90">
                  <c:v>10515.75</c:v>
                </c:pt>
                <c:pt idx="91">
                  <c:v>10527</c:v>
                </c:pt>
                <c:pt idx="92">
                  <c:v>10538.25</c:v>
                </c:pt>
                <c:pt idx="93">
                  <c:v>10549.5</c:v>
                </c:pt>
                <c:pt idx="94">
                  <c:v>10560.75</c:v>
                </c:pt>
                <c:pt idx="95">
                  <c:v>10572</c:v>
                </c:pt>
                <c:pt idx="96">
                  <c:v>10581.75</c:v>
                </c:pt>
                <c:pt idx="97">
                  <c:v>10591.5</c:v>
                </c:pt>
                <c:pt idx="98">
                  <c:v>10601.25</c:v>
                </c:pt>
                <c:pt idx="99">
                  <c:v>10611</c:v>
                </c:pt>
                <c:pt idx="100">
                  <c:v>10620.75</c:v>
                </c:pt>
                <c:pt idx="101">
                  <c:v>10630.5</c:v>
                </c:pt>
                <c:pt idx="102">
                  <c:v>10640.25</c:v>
                </c:pt>
                <c:pt idx="103">
                  <c:v>10650</c:v>
                </c:pt>
                <c:pt idx="104">
                  <c:v>10659.75</c:v>
                </c:pt>
                <c:pt idx="105">
                  <c:v>10669.5</c:v>
                </c:pt>
                <c:pt idx="106">
                  <c:v>10679.25</c:v>
                </c:pt>
                <c:pt idx="107">
                  <c:v>10689</c:v>
                </c:pt>
                <c:pt idx="108">
                  <c:v>10703.416666666666</c:v>
                </c:pt>
                <c:pt idx="109">
                  <c:v>10717.833333333332</c:v>
                </c:pt>
                <c:pt idx="110">
                  <c:v>10732.249999999998</c:v>
                </c:pt>
                <c:pt idx="111">
                  <c:v>10746.666666666664</c:v>
                </c:pt>
                <c:pt idx="112">
                  <c:v>10761.08333333333</c:v>
                </c:pt>
                <c:pt idx="113">
                  <c:v>10775.499999999996</c:v>
                </c:pt>
                <c:pt idx="114">
                  <c:v>10789.916666666662</c:v>
                </c:pt>
                <c:pt idx="115">
                  <c:v>10804.333333333328</c:v>
                </c:pt>
                <c:pt idx="116">
                  <c:v>10818.749999999995</c:v>
                </c:pt>
                <c:pt idx="117">
                  <c:v>10833.166666666661</c:v>
                </c:pt>
                <c:pt idx="118">
                  <c:v>10847.583333333327</c:v>
                </c:pt>
                <c:pt idx="119">
                  <c:v>10862</c:v>
                </c:pt>
                <c:pt idx="120">
                  <c:v>10870.280656298508</c:v>
                </c:pt>
                <c:pt idx="121">
                  <c:v>10878.561312597016</c:v>
                </c:pt>
                <c:pt idx="122">
                  <c:v>10886.841968895524</c:v>
                </c:pt>
                <c:pt idx="123">
                  <c:v>10895.122625194032</c:v>
                </c:pt>
                <c:pt idx="124">
                  <c:v>10903.403281492539</c:v>
                </c:pt>
                <c:pt idx="125">
                  <c:v>10911.683937791047</c:v>
                </c:pt>
                <c:pt idx="126">
                  <c:v>10919.964594089555</c:v>
                </c:pt>
                <c:pt idx="127">
                  <c:v>10928.245250388063</c:v>
                </c:pt>
                <c:pt idx="128">
                  <c:v>10936.525906686571</c:v>
                </c:pt>
                <c:pt idx="129">
                  <c:v>10944.806562985079</c:v>
                </c:pt>
                <c:pt idx="130">
                  <c:v>10953.087219283587</c:v>
                </c:pt>
                <c:pt idx="131">
                  <c:v>10961.3678755821</c:v>
                </c:pt>
                <c:pt idx="132">
                  <c:v>10969.724285077516</c:v>
                </c:pt>
                <c:pt idx="133">
                  <c:v>10978.080694572933</c:v>
                </c:pt>
                <c:pt idx="134">
                  <c:v>10986.437104068349</c:v>
                </c:pt>
                <c:pt idx="135">
                  <c:v>10994.793513563765</c:v>
                </c:pt>
                <c:pt idx="136">
                  <c:v>11003.149923059182</c:v>
                </c:pt>
                <c:pt idx="137">
                  <c:v>11011.506332554598</c:v>
                </c:pt>
                <c:pt idx="138">
                  <c:v>11019.862742050014</c:v>
                </c:pt>
                <c:pt idx="139">
                  <c:v>11028.219151545431</c:v>
                </c:pt>
                <c:pt idx="140">
                  <c:v>11036.575561040847</c:v>
                </c:pt>
                <c:pt idx="141">
                  <c:v>11044.931970536263</c:v>
                </c:pt>
                <c:pt idx="142">
                  <c:v>11053.288380031679</c:v>
                </c:pt>
                <c:pt idx="143">
                  <c:v>11061.644789527089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B-4405-ADBC-E53D8B39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Model'!$P$1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'Rate Class Customer Model'!$P$2:$P$164</c:f>
              <c:numCache>
                <c:formatCode>#,##0</c:formatCode>
                <c:ptCount val="163"/>
                <c:pt idx="0">
                  <c:v>1188.1666666666667</c:v>
                </c:pt>
                <c:pt idx="1">
                  <c:v>1189.3333333333335</c:v>
                </c:pt>
                <c:pt idx="2">
                  <c:v>1190.5000000000002</c:v>
                </c:pt>
                <c:pt idx="3">
                  <c:v>1191.666666666667</c:v>
                </c:pt>
                <c:pt idx="4">
                  <c:v>1192.8333333333337</c:v>
                </c:pt>
                <c:pt idx="5">
                  <c:v>1194.0000000000005</c:v>
                </c:pt>
                <c:pt idx="6">
                  <c:v>1195.1666666666672</c:v>
                </c:pt>
                <c:pt idx="7">
                  <c:v>1196.3333333333339</c:v>
                </c:pt>
                <c:pt idx="8">
                  <c:v>1197.5000000000007</c:v>
                </c:pt>
                <c:pt idx="9">
                  <c:v>1198.6666666666674</c:v>
                </c:pt>
                <c:pt idx="10">
                  <c:v>1199.8333333333342</c:v>
                </c:pt>
                <c:pt idx="11">
                  <c:v>1201</c:v>
                </c:pt>
                <c:pt idx="12">
                  <c:v>1201.6666666666667</c:v>
                </c:pt>
                <c:pt idx="13">
                  <c:v>1202.3333333333335</c:v>
                </c:pt>
                <c:pt idx="14">
                  <c:v>1203.0000000000002</c:v>
                </c:pt>
                <c:pt idx="15">
                  <c:v>1203.666666666667</c:v>
                </c:pt>
                <c:pt idx="16">
                  <c:v>1204.3333333333337</c:v>
                </c:pt>
                <c:pt idx="17">
                  <c:v>1205.0000000000005</c:v>
                </c:pt>
                <c:pt idx="18">
                  <c:v>1205.6666666666672</c:v>
                </c:pt>
                <c:pt idx="19">
                  <c:v>1206.3333333333339</c:v>
                </c:pt>
                <c:pt idx="20">
                  <c:v>1207.0000000000007</c:v>
                </c:pt>
                <c:pt idx="21">
                  <c:v>1207.6666666666674</c:v>
                </c:pt>
                <c:pt idx="22">
                  <c:v>1208.3333333333342</c:v>
                </c:pt>
                <c:pt idx="23">
                  <c:v>1209</c:v>
                </c:pt>
                <c:pt idx="24">
                  <c:v>1208.75</c:v>
                </c:pt>
                <c:pt idx="25">
                  <c:v>1208.5</c:v>
                </c:pt>
                <c:pt idx="26">
                  <c:v>1208.25</c:v>
                </c:pt>
                <c:pt idx="27">
                  <c:v>1208</c:v>
                </c:pt>
                <c:pt idx="28">
                  <c:v>1207.75</c:v>
                </c:pt>
                <c:pt idx="29">
                  <c:v>1207.5</c:v>
                </c:pt>
                <c:pt idx="30">
                  <c:v>1207.25</c:v>
                </c:pt>
                <c:pt idx="31">
                  <c:v>1207</c:v>
                </c:pt>
                <c:pt idx="32">
                  <c:v>1206.75</c:v>
                </c:pt>
                <c:pt idx="33">
                  <c:v>1206.5</c:v>
                </c:pt>
                <c:pt idx="34">
                  <c:v>1206.25</c:v>
                </c:pt>
                <c:pt idx="35">
                  <c:v>1206</c:v>
                </c:pt>
                <c:pt idx="36">
                  <c:v>1207.4166666666667</c:v>
                </c:pt>
                <c:pt idx="37">
                  <c:v>1208.8333333333335</c:v>
                </c:pt>
                <c:pt idx="38">
                  <c:v>1210.2500000000002</c:v>
                </c:pt>
                <c:pt idx="39">
                  <c:v>1211.666666666667</c:v>
                </c:pt>
                <c:pt idx="40">
                  <c:v>1213.0833333333337</c:v>
                </c:pt>
                <c:pt idx="41">
                  <c:v>1214.5000000000005</c:v>
                </c:pt>
                <c:pt idx="42">
                  <c:v>1215.9166666666672</c:v>
                </c:pt>
                <c:pt idx="43">
                  <c:v>1217.3333333333339</c:v>
                </c:pt>
                <c:pt idx="44">
                  <c:v>1218.7500000000007</c:v>
                </c:pt>
                <c:pt idx="45">
                  <c:v>1220.1666666666674</c:v>
                </c:pt>
                <c:pt idx="46">
                  <c:v>1221.5833333333342</c:v>
                </c:pt>
                <c:pt idx="47">
                  <c:v>1223</c:v>
                </c:pt>
                <c:pt idx="48">
                  <c:v>1222.6666666666667</c:v>
                </c:pt>
                <c:pt idx="49">
                  <c:v>1222.3333333333335</c:v>
                </c:pt>
                <c:pt idx="50">
                  <c:v>1222.0000000000002</c:v>
                </c:pt>
                <c:pt idx="51">
                  <c:v>1221.666666666667</c:v>
                </c:pt>
                <c:pt idx="52">
                  <c:v>1221.3333333333337</c:v>
                </c:pt>
                <c:pt idx="53">
                  <c:v>1221.0000000000005</c:v>
                </c:pt>
                <c:pt idx="54">
                  <c:v>1220.6666666666672</c:v>
                </c:pt>
                <c:pt idx="55">
                  <c:v>1220.3333333333339</c:v>
                </c:pt>
                <c:pt idx="56">
                  <c:v>1220.0000000000007</c:v>
                </c:pt>
                <c:pt idx="57">
                  <c:v>1219.6666666666674</c:v>
                </c:pt>
                <c:pt idx="58">
                  <c:v>1219.3333333333342</c:v>
                </c:pt>
                <c:pt idx="59">
                  <c:v>1219</c:v>
                </c:pt>
                <c:pt idx="60">
                  <c:v>1220.4166666666667</c:v>
                </c:pt>
                <c:pt idx="61">
                  <c:v>1221.8333333333335</c:v>
                </c:pt>
                <c:pt idx="62">
                  <c:v>1223.2500000000002</c:v>
                </c:pt>
                <c:pt idx="63">
                  <c:v>1224.666666666667</c:v>
                </c:pt>
                <c:pt idx="64">
                  <c:v>1226.0833333333337</c:v>
                </c:pt>
                <c:pt idx="65">
                  <c:v>1227.5000000000005</c:v>
                </c:pt>
                <c:pt idx="66">
                  <c:v>1228.9166666666672</c:v>
                </c:pt>
                <c:pt idx="67">
                  <c:v>1230.3333333333339</c:v>
                </c:pt>
                <c:pt idx="68">
                  <c:v>1231.7500000000007</c:v>
                </c:pt>
                <c:pt idx="69">
                  <c:v>1233.1666666666674</c:v>
                </c:pt>
                <c:pt idx="70">
                  <c:v>1234.5833333333342</c:v>
                </c:pt>
                <c:pt idx="71">
                  <c:v>1236</c:v>
                </c:pt>
                <c:pt idx="72">
                  <c:v>1236.1666666666667</c:v>
                </c:pt>
                <c:pt idx="73">
                  <c:v>1236.3333333333335</c:v>
                </c:pt>
                <c:pt idx="74">
                  <c:v>1236.5000000000002</c:v>
                </c:pt>
                <c:pt idx="75">
                  <c:v>1236.666666666667</c:v>
                </c:pt>
                <c:pt idx="76">
                  <c:v>1236.8333333333337</c:v>
                </c:pt>
                <c:pt idx="77">
                  <c:v>1237.0000000000005</c:v>
                </c:pt>
                <c:pt idx="78">
                  <c:v>1237.1666666666672</c:v>
                </c:pt>
                <c:pt idx="79">
                  <c:v>1237.3333333333339</c:v>
                </c:pt>
                <c:pt idx="80">
                  <c:v>1237.5000000000007</c:v>
                </c:pt>
                <c:pt idx="81">
                  <c:v>1237.6666666666674</c:v>
                </c:pt>
                <c:pt idx="82">
                  <c:v>1237.8333333333342</c:v>
                </c:pt>
                <c:pt idx="83">
                  <c:v>1238</c:v>
                </c:pt>
                <c:pt idx="84">
                  <c:v>1238</c:v>
                </c:pt>
                <c:pt idx="85">
                  <c:v>1238</c:v>
                </c:pt>
                <c:pt idx="86">
                  <c:v>1238</c:v>
                </c:pt>
                <c:pt idx="87">
                  <c:v>1238</c:v>
                </c:pt>
                <c:pt idx="88">
                  <c:v>1238</c:v>
                </c:pt>
                <c:pt idx="89">
                  <c:v>1238</c:v>
                </c:pt>
                <c:pt idx="90">
                  <c:v>1238</c:v>
                </c:pt>
                <c:pt idx="91">
                  <c:v>1238</c:v>
                </c:pt>
                <c:pt idx="92">
                  <c:v>1238</c:v>
                </c:pt>
                <c:pt idx="93">
                  <c:v>1238</c:v>
                </c:pt>
                <c:pt idx="94">
                  <c:v>1238</c:v>
                </c:pt>
                <c:pt idx="95">
                  <c:v>1238</c:v>
                </c:pt>
                <c:pt idx="96">
                  <c:v>1237.9166666666667</c:v>
                </c:pt>
                <c:pt idx="97">
                  <c:v>1237.8333333333335</c:v>
                </c:pt>
                <c:pt idx="98">
                  <c:v>1237.7500000000002</c:v>
                </c:pt>
                <c:pt idx="99">
                  <c:v>1237.666666666667</c:v>
                </c:pt>
                <c:pt idx="100">
                  <c:v>1237.5833333333337</c:v>
                </c:pt>
                <c:pt idx="101">
                  <c:v>1237.5000000000005</c:v>
                </c:pt>
                <c:pt idx="102">
                  <c:v>1237.4166666666672</c:v>
                </c:pt>
                <c:pt idx="103">
                  <c:v>1237.3333333333339</c:v>
                </c:pt>
                <c:pt idx="104">
                  <c:v>1237.2500000000007</c:v>
                </c:pt>
                <c:pt idx="105">
                  <c:v>1237.1666666666674</c:v>
                </c:pt>
                <c:pt idx="106">
                  <c:v>1237.0833333333342</c:v>
                </c:pt>
                <c:pt idx="107">
                  <c:v>1237</c:v>
                </c:pt>
                <c:pt idx="108">
                  <c:v>1238.3333333333333</c:v>
                </c:pt>
                <c:pt idx="109">
                  <c:v>1239.6666666666665</c:v>
                </c:pt>
                <c:pt idx="110">
                  <c:v>1240.9999999999998</c:v>
                </c:pt>
                <c:pt idx="111">
                  <c:v>1242.333333333333</c:v>
                </c:pt>
                <c:pt idx="112">
                  <c:v>1243.6666666666663</c:v>
                </c:pt>
                <c:pt idx="113">
                  <c:v>1244.9999999999995</c:v>
                </c:pt>
                <c:pt idx="114">
                  <c:v>1246.3333333333328</c:v>
                </c:pt>
                <c:pt idx="115">
                  <c:v>1247.6666666666661</c:v>
                </c:pt>
                <c:pt idx="116">
                  <c:v>1248.9999999999993</c:v>
                </c:pt>
                <c:pt idx="117">
                  <c:v>1250.3333333333326</c:v>
                </c:pt>
                <c:pt idx="118">
                  <c:v>1251.6666666666658</c:v>
                </c:pt>
                <c:pt idx="119">
                  <c:v>1253</c:v>
                </c:pt>
                <c:pt idx="120">
                  <c:v>1253.4869410187316</c:v>
                </c:pt>
                <c:pt idx="121">
                  <c:v>1253.9738820374632</c:v>
                </c:pt>
                <c:pt idx="122">
                  <c:v>1254.4608230561948</c:v>
                </c:pt>
                <c:pt idx="123">
                  <c:v>1254.9477640749265</c:v>
                </c:pt>
                <c:pt idx="124">
                  <c:v>1255.4347050936581</c:v>
                </c:pt>
                <c:pt idx="125">
                  <c:v>1255.9216461123897</c:v>
                </c:pt>
                <c:pt idx="126">
                  <c:v>1256.4085871311213</c:v>
                </c:pt>
                <c:pt idx="127">
                  <c:v>1256.8955281498529</c:v>
                </c:pt>
                <c:pt idx="128">
                  <c:v>1257.3824691685845</c:v>
                </c:pt>
                <c:pt idx="129">
                  <c:v>1257.8694101873161</c:v>
                </c:pt>
                <c:pt idx="130">
                  <c:v>1258.3563512060477</c:v>
                </c:pt>
                <c:pt idx="131">
                  <c:v>1258.8432922247787</c:v>
                </c:pt>
                <c:pt idx="132">
                  <c:v>1259.332504064475</c:v>
                </c:pt>
                <c:pt idx="133">
                  <c:v>1259.8217159041712</c:v>
                </c:pt>
                <c:pt idx="134">
                  <c:v>1260.3109277438675</c:v>
                </c:pt>
                <c:pt idx="135">
                  <c:v>1260.8001395835638</c:v>
                </c:pt>
                <c:pt idx="136">
                  <c:v>1261.2893514232601</c:v>
                </c:pt>
                <c:pt idx="137">
                  <c:v>1261.7785632629564</c:v>
                </c:pt>
                <c:pt idx="138">
                  <c:v>1262.2677751026526</c:v>
                </c:pt>
                <c:pt idx="139">
                  <c:v>1262.7569869423489</c:v>
                </c:pt>
                <c:pt idx="140">
                  <c:v>1263.2461987820452</c:v>
                </c:pt>
                <c:pt idx="141">
                  <c:v>1263.7354106217415</c:v>
                </c:pt>
                <c:pt idx="142">
                  <c:v>1264.2246224614378</c:v>
                </c:pt>
                <c:pt idx="143">
                  <c:v>1264.7138343011329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D-425A-8C74-ABA04403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Model'!$Q$1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Model'!$L$3:$L$165</c:f>
              <c:numCache>
                <c:formatCode>m/d/yyyy</c:formatCode>
                <c:ptCount val="163"/>
                <c:pt idx="0">
                  <c:v>40575</c:v>
                </c:pt>
                <c:pt idx="1">
                  <c:v>40603</c:v>
                </c:pt>
                <c:pt idx="2">
                  <c:v>40634</c:v>
                </c:pt>
                <c:pt idx="3">
                  <c:v>40664</c:v>
                </c:pt>
                <c:pt idx="4">
                  <c:v>40695</c:v>
                </c:pt>
                <c:pt idx="5">
                  <c:v>40725</c:v>
                </c:pt>
                <c:pt idx="6">
                  <c:v>40756</c:v>
                </c:pt>
                <c:pt idx="7">
                  <c:v>40787</c:v>
                </c:pt>
                <c:pt idx="8">
                  <c:v>40817</c:v>
                </c:pt>
                <c:pt idx="9">
                  <c:v>40848</c:v>
                </c:pt>
                <c:pt idx="10">
                  <c:v>40878</c:v>
                </c:pt>
                <c:pt idx="11">
                  <c:v>40909</c:v>
                </c:pt>
                <c:pt idx="12">
                  <c:v>40940</c:v>
                </c:pt>
                <c:pt idx="13">
                  <c:v>40969</c:v>
                </c:pt>
                <c:pt idx="14">
                  <c:v>41000</c:v>
                </c:pt>
                <c:pt idx="15">
                  <c:v>41030</c:v>
                </c:pt>
                <c:pt idx="16">
                  <c:v>41061</c:v>
                </c:pt>
                <c:pt idx="17">
                  <c:v>41091</c:v>
                </c:pt>
                <c:pt idx="18">
                  <c:v>41122</c:v>
                </c:pt>
                <c:pt idx="19">
                  <c:v>41153</c:v>
                </c:pt>
                <c:pt idx="20">
                  <c:v>41183</c:v>
                </c:pt>
                <c:pt idx="21">
                  <c:v>41214</c:v>
                </c:pt>
                <c:pt idx="22">
                  <c:v>41244</c:v>
                </c:pt>
                <c:pt idx="23">
                  <c:v>41275</c:v>
                </c:pt>
                <c:pt idx="24">
                  <c:v>41306</c:v>
                </c:pt>
                <c:pt idx="25">
                  <c:v>41334</c:v>
                </c:pt>
                <c:pt idx="26">
                  <c:v>41365</c:v>
                </c:pt>
                <c:pt idx="27">
                  <c:v>41395</c:v>
                </c:pt>
                <c:pt idx="28">
                  <c:v>41426</c:v>
                </c:pt>
                <c:pt idx="29">
                  <c:v>41456</c:v>
                </c:pt>
                <c:pt idx="30">
                  <c:v>41487</c:v>
                </c:pt>
                <c:pt idx="31">
                  <c:v>41518</c:v>
                </c:pt>
                <c:pt idx="32">
                  <c:v>41548</c:v>
                </c:pt>
                <c:pt idx="33">
                  <c:v>41579</c:v>
                </c:pt>
                <c:pt idx="34">
                  <c:v>41609</c:v>
                </c:pt>
                <c:pt idx="35">
                  <c:v>41640</c:v>
                </c:pt>
                <c:pt idx="36">
                  <c:v>41671</c:v>
                </c:pt>
                <c:pt idx="37">
                  <c:v>41699</c:v>
                </c:pt>
                <c:pt idx="38">
                  <c:v>41730</c:v>
                </c:pt>
                <c:pt idx="39">
                  <c:v>41760</c:v>
                </c:pt>
                <c:pt idx="40">
                  <c:v>41791</c:v>
                </c:pt>
                <c:pt idx="41">
                  <c:v>41821</c:v>
                </c:pt>
                <c:pt idx="42">
                  <c:v>41852</c:v>
                </c:pt>
                <c:pt idx="43">
                  <c:v>41883</c:v>
                </c:pt>
                <c:pt idx="44">
                  <c:v>41913</c:v>
                </c:pt>
                <c:pt idx="45">
                  <c:v>41944</c:v>
                </c:pt>
                <c:pt idx="46">
                  <c:v>41974</c:v>
                </c:pt>
                <c:pt idx="47">
                  <c:v>42005</c:v>
                </c:pt>
                <c:pt idx="48">
                  <c:v>42036</c:v>
                </c:pt>
                <c:pt idx="49">
                  <c:v>42064</c:v>
                </c:pt>
                <c:pt idx="50">
                  <c:v>42095</c:v>
                </c:pt>
                <c:pt idx="51">
                  <c:v>42125</c:v>
                </c:pt>
                <c:pt idx="52">
                  <c:v>42156</c:v>
                </c:pt>
                <c:pt idx="53">
                  <c:v>42186</c:v>
                </c:pt>
                <c:pt idx="54">
                  <c:v>42217</c:v>
                </c:pt>
                <c:pt idx="55">
                  <c:v>42248</c:v>
                </c:pt>
                <c:pt idx="56">
                  <c:v>42278</c:v>
                </c:pt>
                <c:pt idx="57">
                  <c:v>42309</c:v>
                </c:pt>
                <c:pt idx="58">
                  <c:v>42339</c:v>
                </c:pt>
                <c:pt idx="59">
                  <c:v>42370</c:v>
                </c:pt>
                <c:pt idx="60">
                  <c:v>42401</c:v>
                </c:pt>
                <c:pt idx="61">
                  <c:v>42430</c:v>
                </c:pt>
                <c:pt idx="62">
                  <c:v>42461</c:v>
                </c:pt>
                <c:pt idx="63">
                  <c:v>42491</c:v>
                </c:pt>
                <c:pt idx="64">
                  <c:v>42522</c:v>
                </c:pt>
                <c:pt idx="65">
                  <c:v>42552</c:v>
                </c:pt>
                <c:pt idx="66">
                  <c:v>42583</c:v>
                </c:pt>
                <c:pt idx="67">
                  <c:v>42614</c:v>
                </c:pt>
                <c:pt idx="68">
                  <c:v>42644</c:v>
                </c:pt>
                <c:pt idx="69">
                  <c:v>42675</c:v>
                </c:pt>
                <c:pt idx="70">
                  <c:v>42705</c:v>
                </c:pt>
                <c:pt idx="71">
                  <c:v>42736</c:v>
                </c:pt>
                <c:pt idx="72">
                  <c:v>42767</c:v>
                </c:pt>
                <c:pt idx="73">
                  <c:v>42795</c:v>
                </c:pt>
                <c:pt idx="74">
                  <c:v>42826</c:v>
                </c:pt>
                <c:pt idx="75">
                  <c:v>42856</c:v>
                </c:pt>
                <c:pt idx="76">
                  <c:v>42887</c:v>
                </c:pt>
                <c:pt idx="77">
                  <c:v>42917</c:v>
                </c:pt>
                <c:pt idx="78">
                  <c:v>42948</c:v>
                </c:pt>
                <c:pt idx="79">
                  <c:v>42979</c:v>
                </c:pt>
                <c:pt idx="80">
                  <c:v>43009</c:v>
                </c:pt>
                <c:pt idx="81">
                  <c:v>43040</c:v>
                </c:pt>
                <c:pt idx="82">
                  <c:v>43070</c:v>
                </c:pt>
                <c:pt idx="83">
                  <c:v>43101</c:v>
                </c:pt>
                <c:pt idx="84">
                  <c:v>43132</c:v>
                </c:pt>
                <c:pt idx="85">
                  <c:v>43160</c:v>
                </c:pt>
                <c:pt idx="86">
                  <c:v>43191</c:v>
                </c:pt>
                <c:pt idx="87">
                  <c:v>43221</c:v>
                </c:pt>
                <c:pt idx="88">
                  <c:v>43252</c:v>
                </c:pt>
                <c:pt idx="89">
                  <c:v>43282</c:v>
                </c:pt>
                <c:pt idx="90">
                  <c:v>43313</c:v>
                </c:pt>
                <c:pt idx="91">
                  <c:v>43344</c:v>
                </c:pt>
                <c:pt idx="92">
                  <c:v>43374</c:v>
                </c:pt>
                <c:pt idx="93">
                  <c:v>43405</c:v>
                </c:pt>
                <c:pt idx="94">
                  <c:v>43435</c:v>
                </c:pt>
                <c:pt idx="95">
                  <c:v>43466</c:v>
                </c:pt>
                <c:pt idx="96">
                  <c:v>43497</c:v>
                </c:pt>
                <c:pt idx="97">
                  <c:v>43525</c:v>
                </c:pt>
                <c:pt idx="98">
                  <c:v>43556</c:v>
                </c:pt>
                <c:pt idx="99">
                  <c:v>43586</c:v>
                </c:pt>
                <c:pt idx="100">
                  <c:v>43617</c:v>
                </c:pt>
                <c:pt idx="101">
                  <c:v>43647</c:v>
                </c:pt>
                <c:pt idx="102">
                  <c:v>43678</c:v>
                </c:pt>
                <c:pt idx="103">
                  <c:v>43709</c:v>
                </c:pt>
                <c:pt idx="104">
                  <c:v>43739</c:v>
                </c:pt>
                <c:pt idx="105">
                  <c:v>43770</c:v>
                </c:pt>
                <c:pt idx="106">
                  <c:v>43800</c:v>
                </c:pt>
                <c:pt idx="107">
                  <c:v>43831</c:v>
                </c:pt>
                <c:pt idx="108">
                  <c:v>43862</c:v>
                </c:pt>
                <c:pt idx="109">
                  <c:v>43891</c:v>
                </c:pt>
                <c:pt idx="110">
                  <c:v>43922</c:v>
                </c:pt>
                <c:pt idx="111">
                  <c:v>43952</c:v>
                </c:pt>
                <c:pt idx="112">
                  <c:v>43983</c:v>
                </c:pt>
                <c:pt idx="113">
                  <c:v>44013</c:v>
                </c:pt>
                <c:pt idx="114">
                  <c:v>44044</c:v>
                </c:pt>
                <c:pt idx="115">
                  <c:v>44075</c:v>
                </c:pt>
                <c:pt idx="116">
                  <c:v>44105</c:v>
                </c:pt>
                <c:pt idx="117">
                  <c:v>44136</c:v>
                </c:pt>
                <c:pt idx="118">
                  <c:v>44166</c:v>
                </c:pt>
                <c:pt idx="119">
                  <c:v>44197</c:v>
                </c:pt>
                <c:pt idx="120">
                  <c:v>44228</c:v>
                </c:pt>
                <c:pt idx="121">
                  <c:v>44257</c:v>
                </c:pt>
                <c:pt idx="122">
                  <c:v>44288</c:v>
                </c:pt>
                <c:pt idx="123">
                  <c:v>44318</c:v>
                </c:pt>
                <c:pt idx="124">
                  <c:v>44349</c:v>
                </c:pt>
                <c:pt idx="125">
                  <c:v>44379</c:v>
                </c:pt>
                <c:pt idx="126">
                  <c:v>44410</c:v>
                </c:pt>
                <c:pt idx="127">
                  <c:v>44441</c:v>
                </c:pt>
                <c:pt idx="128">
                  <c:v>44471</c:v>
                </c:pt>
                <c:pt idx="129">
                  <c:v>44502</c:v>
                </c:pt>
                <c:pt idx="130">
                  <c:v>44532</c:v>
                </c:pt>
                <c:pt idx="131">
                  <c:v>44563</c:v>
                </c:pt>
                <c:pt idx="132">
                  <c:v>44594</c:v>
                </c:pt>
                <c:pt idx="133">
                  <c:v>44623</c:v>
                </c:pt>
                <c:pt idx="134">
                  <c:v>44654</c:v>
                </c:pt>
                <c:pt idx="135">
                  <c:v>44684</c:v>
                </c:pt>
                <c:pt idx="136">
                  <c:v>44715</c:v>
                </c:pt>
                <c:pt idx="137">
                  <c:v>44745</c:v>
                </c:pt>
                <c:pt idx="138">
                  <c:v>44776</c:v>
                </c:pt>
                <c:pt idx="139">
                  <c:v>44807</c:v>
                </c:pt>
                <c:pt idx="140">
                  <c:v>44837</c:v>
                </c:pt>
                <c:pt idx="141">
                  <c:v>44868</c:v>
                </c:pt>
                <c:pt idx="142">
                  <c:v>44898</c:v>
                </c:pt>
              </c:numCache>
            </c:numRef>
          </c:cat>
          <c:val>
            <c:numRef>
              <c:f>'Rate Class Customer Model'!$Q$3:$Q$165</c:f>
              <c:numCache>
                <c:formatCode>#,##0</c:formatCode>
                <c:ptCount val="163"/>
                <c:pt idx="0">
                  <c:v>98.333333333333343</c:v>
                </c:pt>
                <c:pt idx="1">
                  <c:v>97.500000000000014</c:v>
                </c:pt>
                <c:pt idx="2">
                  <c:v>96.666666666666686</c:v>
                </c:pt>
                <c:pt idx="3">
                  <c:v>95.833333333333357</c:v>
                </c:pt>
                <c:pt idx="4">
                  <c:v>95.000000000000028</c:v>
                </c:pt>
                <c:pt idx="5">
                  <c:v>94.1666666666667</c:v>
                </c:pt>
                <c:pt idx="6">
                  <c:v>93.333333333333371</c:v>
                </c:pt>
                <c:pt idx="7">
                  <c:v>92.500000000000043</c:v>
                </c:pt>
                <c:pt idx="8">
                  <c:v>91.666666666666714</c:v>
                </c:pt>
                <c:pt idx="9">
                  <c:v>90.833333333333385</c:v>
                </c:pt>
                <c:pt idx="10">
                  <c:v>90</c:v>
                </c:pt>
                <c:pt idx="11">
                  <c:v>89.833333333333329</c:v>
                </c:pt>
                <c:pt idx="12">
                  <c:v>89.666666666666657</c:v>
                </c:pt>
                <c:pt idx="13">
                  <c:v>89.499999999999986</c:v>
                </c:pt>
                <c:pt idx="14">
                  <c:v>89.333333333333314</c:v>
                </c:pt>
                <c:pt idx="15">
                  <c:v>89.166666666666643</c:v>
                </c:pt>
                <c:pt idx="16">
                  <c:v>88.999999999999972</c:v>
                </c:pt>
                <c:pt idx="17">
                  <c:v>88.8333333333333</c:v>
                </c:pt>
                <c:pt idx="18">
                  <c:v>88.666666666666629</c:v>
                </c:pt>
                <c:pt idx="19">
                  <c:v>88.499999999999957</c:v>
                </c:pt>
                <c:pt idx="20">
                  <c:v>88.333333333333286</c:v>
                </c:pt>
                <c:pt idx="21">
                  <c:v>88.166666666666615</c:v>
                </c:pt>
                <c:pt idx="22">
                  <c:v>88</c:v>
                </c:pt>
                <c:pt idx="23">
                  <c:v>88.166666666666671</c:v>
                </c:pt>
                <c:pt idx="24">
                  <c:v>88.333333333333343</c:v>
                </c:pt>
                <c:pt idx="25">
                  <c:v>88.500000000000014</c:v>
                </c:pt>
                <c:pt idx="26">
                  <c:v>88.666666666666686</c:v>
                </c:pt>
                <c:pt idx="27">
                  <c:v>88.833333333333357</c:v>
                </c:pt>
                <c:pt idx="28">
                  <c:v>89.000000000000028</c:v>
                </c:pt>
                <c:pt idx="29">
                  <c:v>89.1666666666667</c:v>
                </c:pt>
                <c:pt idx="30">
                  <c:v>89.333333333333371</c:v>
                </c:pt>
                <c:pt idx="31">
                  <c:v>89.500000000000043</c:v>
                </c:pt>
                <c:pt idx="32">
                  <c:v>89.666666666666714</c:v>
                </c:pt>
                <c:pt idx="33">
                  <c:v>89.833333333333385</c:v>
                </c:pt>
                <c:pt idx="34">
                  <c:v>90</c:v>
                </c:pt>
                <c:pt idx="35">
                  <c:v>90</c:v>
                </c:pt>
                <c:pt idx="36">
                  <c:v>90</c:v>
                </c:pt>
                <c:pt idx="37">
                  <c:v>90</c:v>
                </c:pt>
                <c:pt idx="38">
                  <c:v>90</c:v>
                </c:pt>
                <c:pt idx="39">
                  <c:v>90</c:v>
                </c:pt>
                <c:pt idx="40">
                  <c:v>90</c:v>
                </c:pt>
                <c:pt idx="41">
                  <c:v>90</c:v>
                </c:pt>
                <c:pt idx="42">
                  <c:v>90</c:v>
                </c:pt>
                <c:pt idx="43">
                  <c:v>90</c:v>
                </c:pt>
                <c:pt idx="44">
                  <c:v>90</c:v>
                </c:pt>
                <c:pt idx="45">
                  <c:v>90</c:v>
                </c:pt>
                <c:pt idx="46">
                  <c:v>90</c:v>
                </c:pt>
                <c:pt idx="47">
                  <c:v>90.416666666666671</c:v>
                </c:pt>
                <c:pt idx="48">
                  <c:v>90.833333333333343</c:v>
                </c:pt>
                <c:pt idx="49">
                  <c:v>91.250000000000014</c:v>
                </c:pt>
                <c:pt idx="50">
                  <c:v>91.666666666666686</c:v>
                </c:pt>
                <c:pt idx="51">
                  <c:v>92.083333333333357</c:v>
                </c:pt>
                <c:pt idx="52">
                  <c:v>92.500000000000028</c:v>
                </c:pt>
                <c:pt idx="53">
                  <c:v>92.9166666666667</c:v>
                </c:pt>
                <c:pt idx="54">
                  <c:v>93.333333333333371</c:v>
                </c:pt>
                <c:pt idx="55">
                  <c:v>93.750000000000043</c:v>
                </c:pt>
                <c:pt idx="56">
                  <c:v>94.166666666666714</c:v>
                </c:pt>
                <c:pt idx="57">
                  <c:v>94.583333333333385</c:v>
                </c:pt>
                <c:pt idx="58">
                  <c:v>95</c:v>
                </c:pt>
                <c:pt idx="59">
                  <c:v>94.833333333333329</c:v>
                </c:pt>
                <c:pt idx="60">
                  <c:v>94.666666666666657</c:v>
                </c:pt>
                <c:pt idx="61">
                  <c:v>94.499999999999986</c:v>
                </c:pt>
                <c:pt idx="62">
                  <c:v>94.333333333333314</c:v>
                </c:pt>
                <c:pt idx="63">
                  <c:v>94.166666666666643</c:v>
                </c:pt>
                <c:pt idx="64">
                  <c:v>93.999999999999972</c:v>
                </c:pt>
                <c:pt idx="65">
                  <c:v>93.8333333333333</c:v>
                </c:pt>
                <c:pt idx="66">
                  <c:v>93.666666666666629</c:v>
                </c:pt>
                <c:pt idx="67">
                  <c:v>93.499999999999957</c:v>
                </c:pt>
                <c:pt idx="68">
                  <c:v>93.333333333333286</c:v>
                </c:pt>
                <c:pt idx="69">
                  <c:v>93.166666666666615</c:v>
                </c:pt>
                <c:pt idx="70">
                  <c:v>93</c:v>
                </c:pt>
                <c:pt idx="71">
                  <c:v>93.333333333333329</c:v>
                </c:pt>
                <c:pt idx="72">
                  <c:v>93.666666666666657</c:v>
                </c:pt>
                <c:pt idx="73">
                  <c:v>93.999999999999986</c:v>
                </c:pt>
                <c:pt idx="74">
                  <c:v>94.333333333333314</c:v>
                </c:pt>
                <c:pt idx="75">
                  <c:v>94.666666666666643</c:v>
                </c:pt>
                <c:pt idx="76">
                  <c:v>94.999999999999972</c:v>
                </c:pt>
                <c:pt idx="77">
                  <c:v>95.3333333333333</c:v>
                </c:pt>
                <c:pt idx="78">
                  <c:v>95.666666666666629</c:v>
                </c:pt>
                <c:pt idx="79">
                  <c:v>95.999999999999957</c:v>
                </c:pt>
                <c:pt idx="80">
                  <c:v>96.333333333333286</c:v>
                </c:pt>
                <c:pt idx="81">
                  <c:v>96.666666666666615</c:v>
                </c:pt>
                <c:pt idx="82">
                  <c:v>97</c:v>
                </c:pt>
                <c:pt idx="83">
                  <c:v>96.75</c:v>
                </c:pt>
                <c:pt idx="84">
                  <c:v>96.5</c:v>
                </c:pt>
                <c:pt idx="85">
                  <c:v>96.25</c:v>
                </c:pt>
                <c:pt idx="86">
                  <c:v>96</c:v>
                </c:pt>
                <c:pt idx="87">
                  <c:v>95.75</c:v>
                </c:pt>
                <c:pt idx="88">
                  <c:v>95.5</c:v>
                </c:pt>
                <c:pt idx="89">
                  <c:v>95.25</c:v>
                </c:pt>
                <c:pt idx="90">
                  <c:v>95</c:v>
                </c:pt>
                <c:pt idx="91">
                  <c:v>94.75</c:v>
                </c:pt>
                <c:pt idx="92">
                  <c:v>94.5</c:v>
                </c:pt>
                <c:pt idx="93">
                  <c:v>94.25</c:v>
                </c:pt>
                <c:pt idx="94">
                  <c:v>94</c:v>
                </c:pt>
                <c:pt idx="95">
                  <c:v>94.166666666666671</c:v>
                </c:pt>
                <c:pt idx="96">
                  <c:v>94.333333333333343</c:v>
                </c:pt>
                <c:pt idx="97">
                  <c:v>94.500000000000014</c:v>
                </c:pt>
                <c:pt idx="98">
                  <c:v>94.666666666666686</c:v>
                </c:pt>
                <c:pt idx="99">
                  <c:v>94.833333333333357</c:v>
                </c:pt>
                <c:pt idx="100">
                  <c:v>95.000000000000028</c:v>
                </c:pt>
                <c:pt idx="101">
                  <c:v>95.1666666666667</c:v>
                </c:pt>
                <c:pt idx="102">
                  <c:v>95.333333333333371</c:v>
                </c:pt>
                <c:pt idx="103">
                  <c:v>95.500000000000043</c:v>
                </c:pt>
                <c:pt idx="104">
                  <c:v>95.666666666666714</c:v>
                </c:pt>
                <c:pt idx="105">
                  <c:v>95.833333333333385</c:v>
                </c:pt>
                <c:pt idx="106">
                  <c:v>96</c:v>
                </c:pt>
                <c:pt idx="107">
                  <c:v>96.166666666666671</c:v>
                </c:pt>
                <c:pt idx="108">
                  <c:v>96.333333333333343</c:v>
                </c:pt>
                <c:pt idx="109">
                  <c:v>96.500000000000014</c:v>
                </c:pt>
                <c:pt idx="110">
                  <c:v>96.666666666666686</c:v>
                </c:pt>
                <c:pt idx="111">
                  <c:v>96.833333333333357</c:v>
                </c:pt>
                <c:pt idx="112">
                  <c:v>97.000000000000028</c:v>
                </c:pt>
                <c:pt idx="113">
                  <c:v>97.1666666666667</c:v>
                </c:pt>
                <c:pt idx="114">
                  <c:v>97.333333333333371</c:v>
                </c:pt>
                <c:pt idx="115">
                  <c:v>97.500000000000043</c:v>
                </c:pt>
                <c:pt idx="116">
                  <c:v>97.666666666666714</c:v>
                </c:pt>
                <c:pt idx="117">
                  <c:v>97.833333333333385</c:v>
                </c:pt>
                <c:pt idx="118">
                  <c:v>98</c:v>
                </c:pt>
                <c:pt idx="119">
                  <c:v>98.023707183736491</c:v>
                </c:pt>
                <c:pt idx="120">
                  <c:v>98.047414367472982</c:v>
                </c:pt>
                <c:pt idx="121">
                  <c:v>98.071121551209472</c:v>
                </c:pt>
                <c:pt idx="122">
                  <c:v>98.094828734945963</c:v>
                </c:pt>
                <c:pt idx="123">
                  <c:v>98.118535918682454</c:v>
                </c:pt>
                <c:pt idx="124">
                  <c:v>98.142243102418945</c:v>
                </c:pt>
                <c:pt idx="125">
                  <c:v>98.165950286155436</c:v>
                </c:pt>
                <c:pt idx="126">
                  <c:v>98.189657469891927</c:v>
                </c:pt>
                <c:pt idx="127">
                  <c:v>98.213364653628417</c:v>
                </c:pt>
                <c:pt idx="128">
                  <c:v>98.237071837364908</c:v>
                </c:pt>
                <c:pt idx="129">
                  <c:v>98.260779021101399</c:v>
                </c:pt>
                <c:pt idx="130">
                  <c:v>98.284486204837805</c:v>
                </c:pt>
                <c:pt idx="131">
                  <c:v>98.308262208642944</c:v>
                </c:pt>
                <c:pt idx="132">
                  <c:v>98.332038212448083</c:v>
                </c:pt>
                <c:pt idx="133">
                  <c:v>98.355814216253222</c:v>
                </c:pt>
                <c:pt idx="134">
                  <c:v>98.379590220058361</c:v>
                </c:pt>
                <c:pt idx="135">
                  <c:v>98.4033662238635</c:v>
                </c:pt>
                <c:pt idx="136">
                  <c:v>98.427142227668639</c:v>
                </c:pt>
                <c:pt idx="137">
                  <c:v>98.450918231473779</c:v>
                </c:pt>
                <c:pt idx="138">
                  <c:v>98.474694235278918</c:v>
                </c:pt>
                <c:pt idx="139">
                  <c:v>98.498470239084057</c:v>
                </c:pt>
                <c:pt idx="140">
                  <c:v>98.522246242889196</c:v>
                </c:pt>
                <c:pt idx="141">
                  <c:v>98.546022246694335</c:v>
                </c:pt>
                <c:pt idx="142">
                  <c:v>98.569798250499517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0-4D96-A40E-0153C3345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Summary!$A$15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Summary!$B$17:$M$17</c:f>
              <c:numCache>
                <c:formatCode>#,##0</c:formatCode>
                <c:ptCount val="12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  <c:pt idx="10">
                  <c:v>27408854.836361811</c:v>
                </c:pt>
                <c:pt idx="11">
                  <c:v>27656662.932092071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3-4D92-8899-CE3DAD392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Model'!$R$1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'Rate Class Customer Model'!$R$2:$R$164</c:f>
              <c:numCache>
                <c:formatCode>#,##0</c:formatCode>
                <c:ptCount val="163"/>
                <c:pt idx="0">
                  <c:v>2785.75</c:v>
                </c:pt>
                <c:pt idx="1">
                  <c:v>2786.5</c:v>
                </c:pt>
                <c:pt idx="2">
                  <c:v>2787.25</c:v>
                </c:pt>
                <c:pt idx="3">
                  <c:v>2788</c:v>
                </c:pt>
                <c:pt idx="4">
                  <c:v>2788.75</c:v>
                </c:pt>
                <c:pt idx="5">
                  <c:v>2789.5</c:v>
                </c:pt>
                <c:pt idx="6">
                  <c:v>2790.25</c:v>
                </c:pt>
                <c:pt idx="7">
                  <c:v>2791</c:v>
                </c:pt>
                <c:pt idx="8">
                  <c:v>2791.75</c:v>
                </c:pt>
                <c:pt idx="9">
                  <c:v>2792.5</c:v>
                </c:pt>
                <c:pt idx="10">
                  <c:v>2793.25</c:v>
                </c:pt>
                <c:pt idx="11">
                  <c:v>2794</c:v>
                </c:pt>
                <c:pt idx="12">
                  <c:v>2794.75</c:v>
                </c:pt>
                <c:pt idx="13">
                  <c:v>2795.5</c:v>
                </c:pt>
                <c:pt idx="14">
                  <c:v>2796.25</c:v>
                </c:pt>
                <c:pt idx="15">
                  <c:v>2797</c:v>
                </c:pt>
                <c:pt idx="16">
                  <c:v>2797.75</c:v>
                </c:pt>
                <c:pt idx="17">
                  <c:v>2798.5</c:v>
                </c:pt>
                <c:pt idx="18">
                  <c:v>2799.25</c:v>
                </c:pt>
                <c:pt idx="19">
                  <c:v>2800</c:v>
                </c:pt>
                <c:pt idx="20">
                  <c:v>2800.75</c:v>
                </c:pt>
                <c:pt idx="21">
                  <c:v>2801.5</c:v>
                </c:pt>
                <c:pt idx="22">
                  <c:v>2802.25</c:v>
                </c:pt>
                <c:pt idx="23">
                  <c:v>2803</c:v>
                </c:pt>
                <c:pt idx="24">
                  <c:v>2803.75</c:v>
                </c:pt>
                <c:pt idx="25">
                  <c:v>2804.5</c:v>
                </c:pt>
                <c:pt idx="26">
                  <c:v>2805.25</c:v>
                </c:pt>
                <c:pt idx="27">
                  <c:v>2806</c:v>
                </c:pt>
                <c:pt idx="28">
                  <c:v>2806.75</c:v>
                </c:pt>
                <c:pt idx="29">
                  <c:v>2807.5</c:v>
                </c:pt>
                <c:pt idx="30">
                  <c:v>2808.25</c:v>
                </c:pt>
                <c:pt idx="31">
                  <c:v>2809</c:v>
                </c:pt>
                <c:pt idx="32">
                  <c:v>2809.75</c:v>
                </c:pt>
                <c:pt idx="33">
                  <c:v>2810.5</c:v>
                </c:pt>
                <c:pt idx="34">
                  <c:v>2811.25</c:v>
                </c:pt>
                <c:pt idx="35">
                  <c:v>2812</c:v>
                </c:pt>
                <c:pt idx="36">
                  <c:v>2812.75</c:v>
                </c:pt>
                <c:pt idx="37">
                  <c:v>2813.5</c:v>
                </c:pt>
                <c:pt idx="38">
                  <c:v>2814.25</c:v>
                </c:pt>
                <c:pt idx="39">
                  <c:v>2815</c:v>
                </c:pt>
                <c:pt idx="40">
                  <c:v>2815.75</c:v>
                </c:pt>
                <c:pt idx="41">
                  <c:v>2816.5</c:v>
                </c:pt>
                <c:pt idx="42">
                  <c:v>2817.25</c:v>
                </c:pt>
                <c:pt idx="43">
                  <c:v>2818</c:v>
                </c:pt>
                <c:pt idx="44">
                  <c:v>2818.75</c:v>
                </c:pt>
                <c:pt idx="45">
                  <c:v>2819.5</c:v>
                </c:pt>
                <c:pt idx="46">
                  <c:v>2820.25</c:v>
                </c:pt>
                <c:pt idx="47">
                  <c:v>2821</c:v>
                </c:pt>
                <c:pt idx="48">
                  <c:v>2821.75</c:v>
                </c:pt>
                <c:pt idx="49">
                  <c:v>2822.5</c:v>
                </c:pt>
                <c:pt idx="50">
                  <c:v>2823.25</c:v>
                </c:pt>
                <c:pt idx="51">
                  <c:v>2824</c:v>
                </c:pt>
                <c:pt idx="52">
                  <c:v>2824.75</c:v>
                </c:pt>
                <c:pt idx="53">
                  <c:v>2825.5</c:v>
                </c:pt>
                <c:pt idx="54">
                  <c:v>2826.25</c:v>
                </c:pt>
                <c:pt idx="55">
                  <c:v>2827</c:v>
                </c:pt>
                <c:pt idx="56">
                  <c:v>2827.75</c:v>
                </c:pt>
                <c:pt idx="57">
                  <c:v>2828.5</c:v>
                </c:pt>
                <c:pt idx="58">
                  <c:v>2829.25</c:v>
                </c:pt>
                <c:pt idx="59">
                  <c:v>2830</c:v>
                </c:pt>
                <c:pt idx="60">
                  <c:v>2838.5</c:v>
                </c:pt>
                <c:pt idx="61">
                  <c:v>2847</c:v>
                </c:pt>
                <c:pt idx="62">
                  <c:v>2855.5</c:v>
                </c:pt>
                <c:pt idx="63">
                  <c:v>2864</c:v>
                </c:pt>
                <c:pt idx="64">
                  <c:v>2872.5</c:v>
                </c:pt>
                <c:pt idx="65">
                  <c:v>2881</c:v>
                </c:pt>
                <c:pt idx="66">
                  <c:v>2889.5</c:v>
                </c:pt>
                <c:pt idx="67">
                  <c:v>2898</c:v>
                </c:pt>
                <c:pt idx="68">
                  <c:v>2906.5</c:v>
                </c:pt>
                <c:pt idx="69">
                  <c:v>2915</c:v>
                </c:pt>
                <c:pt idx="70">
                  <c:v>2923.5</c:v>
                </c:pt>
                <c:pt idx="71">
                  <c:v>2932</c:v>
                </c:pt>
                <c:pt idx="72">
                  <c:v>2932</c:v>
                </c:pt>
                <c:pt idx="73">
                  <c:v>2932</c:v>
                </c:pt>
                <c:pt idx="74">
                  <c:v>2932</c:v>
                </c:pt>
                <c:pt idx="75">
                  <c:v>2932</c:v>
                </c:pt>
                <c:pt idx="76">
                  <c:v>2932</c:v>
                </c:pt>
                <c:pt idx="77">
                  <c:v>2932</c:v>
                </c:pt>
                <c:pt idx="78">
                  <c:v>2932</c:v>
                </c:pt>
                <c:pt idx="79">
                  <c:v>2932</c:v>
                </c:pt>
                <c:pt idx="80">
                  <c:v>2932</c:v>
                </c:pt>
                <c:pt idx="81">
                  <c:v>2932</c:v>
                </c:pt>
                <c:pt idx="82">
                  <c:v>2932</c:v>
                </c:pt>
                <c:pt idx="83">
                  <c:v>2932</c:v>
                </c:pt>
                <c:pt idx="84">
                  <c:v>2935.8333333333335</c:v>
                </c:pt>
                <c:pt idx="85">
                  <c:v>2939.666666666667</c:v>
                </c:pt>
                <c:pt idx="86">
                  <c:v>2943.5000000000005</c:v>
                </c:pt>
                <c:pt idx="87">
                  <c:v>2947.3333333333339</c:v>
                </c:pt>
                <c:pt idx="88">
                  <c:v>2951.1666666666674</c:v>
                </c:pt>
                <c:pt idx="89">
                  <c:v>2955.0000000000009</c:v>
                </c:pt>
                <c:pt idx="90">
                  <c:v>2958.8333333333344</c:v>
                </c:pt>
                <c:pt idx="91">
                  <c:v>2962.6666666666679</c:v>
                </c:pt>
                <c:pt idx="92">
                  <c:v>2966.5000000000014</c:v>
                </c:pt>
                <c:pt idx="93">
                  <c:v>2970.3333333333348</c:v>
                </c:pt>
                <c:pt idx="94">
                  <c:v>2974.1666666666683</c:v>
                </c:pt>
                <c:pt idx="95">
                  <c:v>2978</c:v>
                </c:pt>
                <c:pt idx="96">
                  <c:v>2980.3333333333335</c:v>
                </c:pt>
                <c:pt idx="97">
                  <c:v>2982.666666666667</c:v>
                </c:pt>
                <c:pt idx="98">
                  <c:v>2985.0000000000005</c:v>
                </c:pt>
                <c:pt idx="99">
                  <c:v>2987.3333333333339</c:v>
                </c:pt>
                <c:pt idx="100">
                  <c:v>2989.6666666666674</c:v>
                </c:pt>
                <c:pt idx="101">
                  <c:v>2992.0000000000009</c:v>
                </c:pt>
                <c:pt idx="102">
                  <c:v>2994.3333333333344</c:v>
                </c:pt>
                <c:pt idx="103">
                  <c:v>2996.6666666666679</c:v>
                </c:pt>
                <c:pt idx="104">
                  <c:v>2999.0000000000014</c:v>
                </c:pt>
                <c:pt idx="105">
                  <c:v>3001.3333333333348</c:v>
                </c:pt>
                <c:pt idx="106">
                  <c:v>3003.6666666666683</c:v>
                </c:pt>
                <c:pt idx="107">
                  <c:v>3006</c:v>
                </c:pt>
                <c:pt idx="108">
                  <c:v>3012.1666666666665</c:v>
                </c:pt>
                <c:pt idx="109">
                  <c:v>3018.333333333333</c:v>
                </c:pt>
                <c:pt idx="110">
                  <c:v>3024.4999999999995</c:v>
                </c:pt>
                <c:pt idx="111">
                  <c:v>3030.6666666666661</c:v>
                </c:pt>
                <c:pt idx="112">
                  <c:v>3036.8333333333326</c:v>
                </c:pt>
                <c:pt idx="113">
                  <c:v>3042.9999999999991</c:v>
                </c:pt>
                <c:pt idx="114">
                  <c:v>3049.1666666666656</c:v>
                </c:pt>
                <c:pt idx="115">
                  <c:v>3055.3333333333321</c:v>
                </c:pt>
                <c:pt idx="116">
                  <c:v>3061.4999999999986</c:v>
                </c:pt>
                <c:pt idx="117">
                  <c:v>3067.6666666666652</c:v>
                </c:pt>
                <c:pt idx="118">
                  <c:v>3073.8333333333317</c:v>
                </c:pt>
                <c:pt idx="119">
                  <c:v>3080</c:v>
                </c:pt>
                <c:pt idx="120">
                  <c:v>3082.517902053839</c:v>
                </c:pt>
                <c:pt idx="121">
                  <c:v>3085.0358041076779</c:v>
                </c:pt>
                <c:pt idx="122">
                  <c:v>3087.5537061615169</c:v>
                </c:pt>
                <c:pt idx="123">
                  <c:v>3090.0716082153558</c:v>
                </c:pt>
                <c:pt idx="124">
                  <c:v>3092.5895102691948</c:v>
                </c:pt>
                <c:pt idx="125">
                  <c:v>3095.1074123230337</c:v>
                </c:pt>
                <c:pt idx="126">
                  <c:v>3097.6253143768727</c:v>
                </c:pt>
                <c:pt idx="127">
                  <c:v>3100.1432164307116</c:v>
                </c:pt>
                <c:pt idx="128">
                  <c:v>3102.6611184845506</c:v>
                </c:pt>
                <c:pt idx="129">
                  <c:v>3105.1790205383895</c:v>
                </c:pt>
                <c:pt idx="130">
                  <c:v>3107.6969225922285</c:v>
                </c:pt>
                <c:pt idx="131">
                  <c:v>3110.2148246460679</c:v>
                </c:pt>
                <c:pt idx="132">
                  <c:v>3112.7574273392033</c:v>
                </c:pt>
                <c:pt idx="133">
                  <c:v>3115.3000300323388</c:v>
                </c:pt>
                <c:pt idx="134">
                  <c:v>3117.8426327254742</c:v>
                </c:pt>
                <c:pt idx="135">
                  <c:v>3120.3852354186097</c:v>
                </c:pt>
                <c:pt idx="136">
                  <c:v>3122.9278381117451</c:v>
                </c:pt>
                <c:pt idx="137">
                  <c:v>3125.4704408048806</c:v>
                </c:pt>
                <c:pt idx="138">
                  <c:v>3128.013043498016</c:v>
                </c:pt>
                <c:pt idx="139">
                  <c:v>3130.5556461911515</c:v>
                </c:pt>
                <c:pt idx="140">
                  <c:v>3133.0982488842869</c:v>
                </c:pt>
                <c:pt idx="141">
                  <c:v>3135.6408515774224</c:v>
                </c:pt>
                <c:pt idx="142">
                  <c:v>3138.1834542705578</c:v>
                </c:pt>
                <c:pt idx="143">
                  <c:v>3140.7260569636919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C-4E20-8937-F4D34144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Model'!$S$1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'Rate Class Customer Model'!$S$2:$S$164</c:f>
              <c:numCache>
                <c:formatCode>#,##0</c:formatCode>
                <c:ptCount val="163"/>
                <c:pt idx="0">
                  <c:v>32.916666666666664</c:v>
                </c:pt>
                <c:pt idx="1">
                  <c:v>32.833333333333329</c:v>
                </c:pt>
                <c:pt idx="2">
                  <c:v>32.749999999999993</c:v>
                </c:pt>
                <c:pt idx="3">
                  <c:v>32.666666666666657</c:v>
                </c:pt>
                <c:pt idx="4">
                  <c:v>32.583333333333321</c:v>
                </c:pt>
                <c:pt idx="5">
                  <c:v>32.499999999999986</c:v>
                </c:pt>
                <c:pt idx="6">
                  <c:v>32.41666666666665</c:v>
                </c:pt>
                <c:pt idx="7">
                  <c:v>32.333333333333314</c:v>
                </c:pt>
                <c:pt idx="8">
                  <c:v>32.249999999999979</c:v>
                </c:pt>
                <c:pt idx="9">
                  <c:v>32.166666666666643</c:v>
                </c:pt>
                <c:pt idx="10">
                  <c:v>32.083333333333307</c:v>
                </c:pt>
                <c:pt idx="11">
                  <c:v>32</c:v>
                </c:pt>
                <c:pt idx="12">
                  <c:v>31.916666666666668</c:v>
                </c:pt>
                <c:pt idx="13">
                  <c:v>31.833333333333336</c:v>
                </c:pt>
                <c:pt idx="14">
                  <c:v>31.750000000000004</c:v>
                </c:pt>
                <c:pt idx="15">
                  <c:v>31.666666666666671</c:v>
                </c:pt>
                <c:pt idx="16">
                  <c:v>31.583333333333339</c:v>
                </c:pt>
                <c:pt idx="17">
                  <c:v>31.500000000000007</c:v>
                </c:pt>
                <c:pt idx="18">
                  <c:v>31.416666666666675</c:v>
                </c:pt>
                <c:pt idx="19">
                  <c:v>31.333333333333343</c:v>
                </c:pt>
                <c:pt idx="20">
                  <c:v>31.250000000000011</c:v>
                </c:pt>
                <c:pt idx="21">
                  <c:v>31.166666666666679</c:v>
                </c:pt>
                <c:pt idx="22">
                  <c:v>31.083333333333346</c:v>
                </c:pt>
                <c:pt idx="23">
                  <c:v>31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30.916666666666668</c:v>
                </c:pt>
                <c:pt idx="61">
                  <c:v>30.833333333333336</c:v>
                </c:pt>
                <c:pt idx="62">
                  <c:v>30.750000000000004</c:v>
                </c:pt>
                <c:pt idx="63">
                  <c:v>30.666666666666671</c:v>
                </c:pt>
                <c:pt idx="64">
                  <c:v>30.583333333333339</c:v>
                </c:pt>
                <c:pt idx="65">
                  <c:v>30.500000000000007</c:v>
                </c:pt>
                <c:pt idx="66">
                  <c:v>30.416666666666675</c:v>
                </c:pt>
                <c:pt idx="67">
                  <c:v>30.333333333333343</c:v>
                </c:pt>
                <c:pt idx="68">
                  <c:v>30.250000000000011</c:v>
                </c:pt>
                <c:pt idx="69">
                  <c:v>30.166666666666679</c:v>
                </c:pt>
                <c:pt idx="70">
                  <c:v>30.083333333333346</c:v>
                </c:pt>
                <c:pt idx="71">
                  <c:v>30</c:v>
                </c:pt>
                <c:pt idx="72">
                  <c:v>30.083333333333332</c:v>
                </c:pt>
                <c:pt idx="73">
                  <c:v>30.166666666666664</c:v>
                </c:pt>
                <c:pt idx="74">
                  <c:v>30.249999999999996</c:v>
                </c:pt>
                <c:pt idx="75">
                  <c:v>30.333333333333329</c:v>
                </c:pt>
                <c:pt idx="76">
                  <c:v>30.416666666666661</c:v>
                </c:pt>
                <c:pt idx="77">
                  <c:v>30.499999999999993</c:v>
                </c:pt>
                <c:pt idx="78">
                  <c:v>30.583333333333325</c:v>
                </c:pt>
                <c:pt idx="79">
                  <c:v>30.666666666666657</c:v>
                </c:pt>
                <c:pt idx="80">
                  <c:v>30.749999999999989</c:v>
                </c:pt>
                <c:pt idx="81">
                  <c:v>30.833333333333321</c:v>
                </c:pt>
                <c:pt idx="82">
                  <c:v>30.916666666666654</c:v>
                </c:pt>
                <c:pt idx="83">
                  <c:v>31</c:v>
                </c:pt>
                <c:pt idx="84">
                  <c:v>31.083333333333332</c:v>
                </c:pt>
                <c:pt idx="85">
                  <c:v>31.166666666666664</c:v>
                </c:pt>
                <c:pt idx="86">
                  <c:v>31.249999999999996</c:v>
                </c:pt>
                <c:pt idx="87">
                  <c:v>31.333333333333329</c:v>
                </c:pt>
                <c:pt idx="88">
                  <c:v>31.416666666666661</c:v>
                </c:pt>
                <c:pt idx="89">
                  <c:v>31.499999999999993</c:v>
                </c:pt>
                <c:pt idx="90">
                  <c:v>31.583333333333325</c:v>
                </c:pt>
                <c:pt idx="91">
                  <c:v>31.666666666666657</c:v>
                </c:pt>
                <c:pt idx="92">
                  <c:v>31.749999999999989</c:v>
                </c:pt>
                <c:pt idx="93">
                  <c:v>31.833333333333321</c:v>
                </c:pt>
                <c:pt idx="94">
                  <c:v>31.916666666666654</c:v>
                </c:pt>
                <c:pt idx="95">
                  <c:v>32</c:v>
                </c:pt>
                <c:pt idx="96">
                  <c:v>32</c:v>
                </c:pt>
                <c:pt idx="97">
                  <c:v>32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32</c:v>
                </c:pt>
                <c:pt idx="102">
                  <c:v>32</c:v>
                </c:pt>
                <c:pt idx="103">
                  <c:v>32</c:v>
                </c:pt>
                <c:pt idx="104">
                  <c:v>32</c:v>
                </c:pt>
                <c:pt idx="105">
                  <c:v>32</c:v>
                </c:pt>
                <c:pt idx="106">
                  <c:v>32</c:v>
                </c:pt>
                <c:pt idx="107">
                  <c:v>32</c:v>
                </c:pt>
                <c:pt idx="108">
                  <c:v>32</c:v>
                </c:pt>
                <c:pt idx="109">
                  <c:v>32</c:v>
                </c:pt>
                <c:pt idx="110">
                  <c:v>32</c:v>
                </c:pt>
                <c:pt idx="111">
                  <c:v>32</c:v>
                </c:pt>
                <c:pt idx="112">
                  <c:v>32</c:v>
                </c:pt>
                <c:pt idx="113">
                  <c:v>32</c:v>
                </c:pt>
                <c:pt idx="114">
                  <c:v>32</c:v>
                </c:pt>
                <c:pt idx="115">
                  <c:v>32</c:v>
                </c:pt>
                <c:pt idx="116">
                  <c:v>32</c:v>
                </c:pt>
                <c:pt idx="117">
                  <c:v>32</c:v>
                </c:pt>
                <c:pt idx="118">
                  <c:v>32</c:v>
                </c:pt>
                <c:pt idx="119">
                  <c:v>32</c:v>
                </c:pt>
                <c:pt idx="120">
                  <c:v>32</c:v>
                </c:pt>
                <c:pt idx="121">
                  <c:v>32</c:v>
                </c:pt>
                <c:pt idx="122">
                  <c:v>32</c:v>
                </c:pt>
                <c:pt idx="123">
                  <c:v>32</c:v>
                </c:pt>
                <c:pt idx="124">
                  <c:v>32</c:v>
                </c:pt>
                <c:pt idx="125">
                  <c:v>32</c:v>
                </c:pt>
                <c:pt idx="126">
                  <c:v>32</c:v>
                </c:pt>
                <c:pt idx="127">
                  <c:v>32</c:v>
                </c:pt>
                <c:pt idx="128">
                  <c:v>32</c:v>
                </c:pt>
                <c:pt idx="129">
                  <c:v>32</c:v>
                </c:pt>
                <c:pt idx="130">
                  <c:v>32</c:v>
                </c:pt>
                <c:pt idx="131">
                  <c:v>32</c:v>
                </c:pt>
                <c:pt idx="132">
                  <c:v>32</c:v>
                </c:pt>
                <c:pt idx="133">
                  <c:v>32</c:v>
                </c:pt>
                <c:pt idx="134">
                  <c:v>32</c:v>
                </c:pt>
                <c:pt idx="135">
                  <c:v>32</c:v>
                </c:pt>
                <c:pt idx="136">
                  <c:v>32</c:v>
                </c:pt>
                <c:pt idx="137">
                  <c:v>32</c:v>
                </c:pt>
                <c:pt idx="138">
                  <c:v>32</c:v>
                </c:pt>
                <c:pt idx="139">
                  <c:v>32</c:v>
                </c:pt>
                <c:pt idx="140">
                  <c:v>32</c:v>
                </c:pt>
                <c:pt idx="141">
                  <c:v>32</c:v>
                </c:pt>
                <c:pt idx="142">
                  <c:v>32</c:v>
                </c:pt>
                <c:pt idx="143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0-4315-8DD7-2DDBA2F5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Model'!$T$1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'Rate Class Customer Model'!$T$2:$T$164</c:f>
              <c:numCache>
                <c:formatCode>#,##0</c:formatCode>
                <c:ptCount val="163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7</c:v>
                </c:pt>
                <c:pt idx="53">
                  <c:v>7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7</c:v>
                </c:pt>
                <c:pt idx="58">
                  <c:v>7</c:v>
                </c:pt>
                <c:pt idx="59">
                  <c:v>7</c:v>
                </c:pt>
                <c:pt idx="60">
                  <c:v>7.666666666666667</c:v>
                </c:pt>
                <c:pt idx="61">
                  <c:v>8.3333333333333339</c:v>
                </c:pt>
                <c:pt idx="62">
                  <c:v>9</c:v>
                </c:pt>
                <c:pt idx="63">
                  <c:v>9.6666666666666661</c:v>
                </c:pt>
                <c:pt idx="64">
                  <c:v>10.333333333333332</c:v>
                </c:pt>
                <c:pt idx="65">
                  <c:v>10.999999999999998</c:v>
                </c:pt>
                <c:pt idx="66">
                  <c:v>11.666666666666664</c:v>
                </c:pt>
                <c:pt idx="67">
                  <c:v>12.33333333333333</c:v>
                </c:pt>
                <c:pt idx="68">
                  <c:v>12.999999999999996</c:v>
                </c:pt>
                <c:pt idx="69">
                  <c:v>13.666666666666663</c:v>
                </c:pt>
                <c:pt idx="70">
                  <c:v>14.333333333333329</c:v>
                </c:pt>
                <c:pt idx="71">
                  <c:v>15</c:v>
                </c:pt>
                <c:pt idx="72">
                  <c:v>15.166666666666666</c:v>
                </c:pt>
                <c:pt idx="73">
                  <c:v>15.333333333333332</c:v>
                </c:pt>
                <c:pt idx="74">
                  <c:v>15.499999999999998</c:v>
                </c:pt>
                <c:pt idx="75">
                  <c:v>15.666666666666664</c:v>
                </c:pt>
                <c:pt idx="76">
                  <c:v>15.83333333333333</c:v>
                </c:pt>
                <c:pt idx="77">
                  <c:v>15.999999999999996</c:v>
                </c:pt>
                <c:pt idx="78">
                  <c:v>16.166666666666664</c:v>
                </c:pt>
                <c:pt idx="79">
                  <c:v>16.333333333333332</c:v>
                </c:pt>
                <c:pt idx="80">
                  <c:v>16.5</c:v>
                </c:pt>
                <c:pt idx="81">
                  <c:v>16.666666666666668</c:v>
                </c:pt>
                <c:pt idx="82">
                  <c:v>16.833333333333336</c:v>
                </c:pt>
                <c:pt idx="83">
                  <c:v>17</c:v>
                </c:pt>
                <c:pt idx="84">
                  <c:v>17</c:v>
                </c:pt>
                <c:pt idx="85">
                  <c:v>17</c:v>
                </c:pt>
                <c:pt idx="86">
                  <c:v>17</c:v>
                </c:pt>
                <c:pt idx="87">
                  <c:v>17</c:v>
                </c:pt>
                <c:pt idx="88">
                  <c:v>17</c:v>
                </c:pt>
                <c:pt idx="89">
                  <c:v>17</c:v>
                </c:pt>
                <c:pt idx="90">
                  <c:v>17</c:v>
                </c:pt>
                <c:pt idx="91">
                  <c:v>17</c:v>
                </c:pt>
                <c:pt idx="92">
                  <c:v>17</c:v>
                </c:pt>
                <c:pt idx="93">
                  <c:v>17</c:v>
                </c:pt>
                <c:pt idx="94">
                  <c:v>17</c:v>
                </c:pt>
                <c:pt idx="95">
                  <c:v>17</c:v>
                </c:pt>
                <c:pt idx="96">
                  <c:v>17</c:v>
                </c:pt>
                <c:pt idx="97">
                  <c:v>17</c:v>
                </c:pt>
                <c:pt idx="98">
                  <c:v>17</c:v>
                </c:pt>
                <c:pt idx="99">
                  <c:v>17</c:v>
                </c:pt>
                <c:pt idx="100">
                  <c:v>17</c:v>
                </c:pt>
                <c:pt idx="101">
                  <c:v>17</c:v>
                </c:pt>
                <c:pt idx="102">
                  <c:v>17</c:v>
                </c:pt>
                <c:pt idx="103">
                  <c:v>17</c:v>
                </c:pt>
                <c:pt idx="104">
                  <c:v>17</c:v>
                </c:pt>
                <c:pt idx="105">
                  <c:v>17</c:v>
                </c:pt>
                <c:pt idx="106">
                  <c:v>17</c:v>
                </c:pt>
                <c:pt idx="107">
                  <c:v>17</c:v>
                </c:pt>
                <c:pt idx="108">
                  <c:v>17</c:v>
                </c:pt>
                <c:pt idx="109">
                  <c:v>17</c:v>
                </c:pt>
                <c:pt idx="110">
                  <c:v>17</c:v>
                </c:pt>
                <c:pt idx="111">
                  <c:v>17</c:v>
                </c:pt>
                <c:pt idx="112">
                  <c:v>17</c:v>
                </c:pt>
                <c:pt idx="113">
                  <c:v>17</c:v>
                </c:pt>
                <c:pt idx="114">
                  <c:v>17</c:v>
                </c:pt>
                <c:pt idx="115">
                  <c:v>17</c:v>
                </c:pt>
                <c:pt idx="116">
                  <c:v>17</c:v>
                </c:pt>
                <c:pt idx="117">
                  <c:v>17</c:v>
                </c:pt>
                <c:pt idx="118">
                  <c:v>17</c:v>
                </c:pt>
                <c:pt idx="119">
                  <c:v>17</c:v>
                </c:pt>
                <c:pt idx="120">
                  <c:v>17</c:v>
                </c:pt>
                <c:pt idx="121">
                  <c:v>17</c:v>
                </c:pt>
                <c:pt idx="122">
                  <c:v>17</c:v>
                </c:pt>
                <c:pt idx="123">
                  <c:v>17</c:v>
                </c:pt>
                <c:pt idx="124">
                  <c:v>17</c:v>
                </c:pt>
                <c:pt idx="125">
                  <c:v>17</c:v>
                </c:pt>
                <c:pt idx="126">
                  <c:v>17</c:v>
                </c:pt>
                <c:pt idx="127">
                  <c:v>17</c:v>
                </c:pt>
                <c:pt idx="128">
                  <c:v>17</c:v>
                </c:pt>
                <c:pt idx="129">
                  <c:v>17</c:v>
                </c:pt>
                <c:pt idx="130">
                  <c:v>17</c:v>
                </c:pt>
                <c:pt idx="131">
                  <c:v>17</c:v>
                </c:pt>
                <c:pt idx="132">
                  <c:v>17</c:v>
                </c:pt>
                <c:pt idx="133">
                  <c:v>17</c:v>
                </c:pt>
                <c:pt idx="134">
                  <c:v>17</c:v>
                </c:pt>
                <c:pt idx="135">
                  <c:v>17</c:v>
                </c:pt>
                <c:pt idx="136">
                  <c:v>17</c:v>
                </c:pt>
                <c:pt idx="137">
                  <c:v>17</c:v>
                </c:pt>
                <c:pt idx="138">
                  <c:v>17</c:v>
                </c:pt>
                <c:pt idx="139">
                  <c:v>17</c:v>
                </c:pt>
                <c:pt idx="140">
                  <c:v>17</c:v>
                </c:pt>
                <c:pt idx="141">
                  <c:v>17</c:v>
                </c:pt>
                <c:pt idx="142">
                  <c:v>17</c:v>
                </c:pt>
                <c:pt idx="14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6-402F-8EF8-6262D5A4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44634324446986E-2"/>
          <c:y val="1.6663184013043581E-2"/>
          <c:w val="0.9247323758974797"/>
          <c:h val="0.80451262899540954"/>
        </c:manualLayout>
      </c:layout>
      <c:lineChart>
        <c:grouping val="standard"/>
        <c:varyColors val="0"/>
        <c:ser>
          <c:idx val="0"/>
          <c:order val="0"/>
          <c:tx>
            <c:strRef>
              <c:f>'Purchased Power Model'!$G$2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'Purchased Power Model'!$G$3:$G$122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21268156.650984365</c:v>
                </c:pt>
                <c:pt idx="39">
                  <c:v>17858958.884850029</c:v>
                </c:pt>
                <c:pt idx="40">
                  <c:v>18304128.426408004</c:v>
                </c:pt>
                <c:pt idx="41">
                  <c:v>21946899.250017259</c:v>
                </c:pt>
                <c:pt idx="42">
                  <c:v>22857416.227472667</c:v>
                </c:pt>
                <c:pt idx="43">
                  <c:v>23466694.743389614</c:v>
                </c:pt>
                <c:pt idx="44">
                  <c:v>20038780.951614253</c:v>
                </c:pt>
                <c:pt idx="45">
                  <c:v>18479659.4675312</c:v>
                </c:pt>
                <c:pt idx="46">
                  <c:v>20543691.829601996</c:v>
                </c:pt>
                <c:pt idx="47">
                  <c:v>22323785.730134327</c:v>
                </c:pt>
                <c:pt idx="48">
                  <c:v>24490725.048694611</c:v>
                </c:pt>
                <c:pt idx="49">
                  <c:v>22668464.391569141</c:v>
                </c:pt>
                <c:pt idx="50">
                  <c:v>21175011.42675136</c:v>
                </c:pt>
                <c:pt idx="51">
                  <c:v>17875835.385010503</c:v>
                </c:pt>
                <c:pt idx="52">
                  <c:v>18294367.035577338</c:v>
                </c:pt>
                <c:pt idx="53">
                  <c:v>20496129.455374945</c:v>
                </c:pt>
                <c:pt idx="54">
                  <c:v>24118776.490557164</c:v>
                </c:pt>
                <c:pt idx="55">
                  <c:v>23636969.679585539</c:v>
                </c:pt>
                <c:pt idx="56">
                  <c:v>21716455.176306222</c:v>
                </c:pt>
                <c:pt idx="57">
                  <c:v>18327925.288411517</c:v>
                </c:pt>
                <c:pt idx="58">
                  <c:v>18801756.938978352</c:v>
                </c:pt>
                <c:pt idx="59">
                  <c:v>20490427.051083647</c:v>
                </c:pt>
                <c:pt idx="60">
                  <c:v>22653592.291770127</c:v>
                </c:pt>
                <c:pt idx="61">
                  <c:v>20376621.408394717</c:v>
                </c:pt>
                <c:pt idx="62">
                  <c:v>19654912.065019302</c:v>
                </c:pt>
                <c:pt idx="63">
                  <c:v>17963179.641643889</c:v>
                </c:pt>
                <c:pt idx="64">
                  <c:v>18300877.98826848</c:v>
                </c:pt>
                <c:pt idx="65">
                  <c:v>21583814.794893071</c:v>
                </c:pt>
                <c:pt idx="66">
                  <c:v>25836759.291517656</c:v>
                </c:pt>
                <c:pt idx="67">
                  <c:v>26931849.938142244</c:v>
                </c:pt>
                <c:pt idx="68">
                  <c:v>20441779.054766834</c:v>
                </c:pt>
                <c:pt idx="69">
                  <c:v>17245985.091391418</c:v>
                </c:pt>
                <c:pt idx="70">
                  <c:v>18311898.828016009</c:v>
                </c:pt>
                <c:pt idx="71">
                  <c:v>22148843.324640594</c:v>
                </c:pt>
                <c:pt idx="72">
                  <c:v>21977343.197596632</c:v>
                </c:pt>
                <c:pt idx="73">
                  <c:v>18527994.060588073</c:v>
                </c:pt>
                <c:pt idx="74">
                  <c:v>20029068.723579515</c:v>
                </c:pt>
                <c:pt idx="75">
                  <c:v>16543457.686570955</c:v>
                </c:pt>
                <c:pt idx="76">
                  <c:v>17499222.829562396</c:v>
                </c:pt>
                <c:pt idx="77">
                  <c:v>21049768.922553837</c:v>
                </c:pt>
                <c:pt idx="78">
                  <c:v>24733315.02554528</c:v>
                </c:pt>
                <c:pt idx="79">
                  <c:v>23109289.698536724</c:v>
                </c:pt>
                <c:pt idx="80">
                  <c:v>20211497.701528165</c:v>
                </c:pt>
                <c:pt idx="81">
                  <c:v>18586072.364519604</c:v>
                </c:pt>
                <c:pt idx="82">
                  <c:v>19735880.367511041</c:v>
                </c:pt>
                <c:pt idx="83">
                  <c:v>22680921.710502487</c:v>
                </c:pt>
                <c:pt idx="84">
                  <c:v>23743222.716993935</c:v>
                </c:pt>
                <c:pt idx="85">
                  <c:v>20012112.80951703</c:v>
                </c:pt>
                <c:pt idx="86">
                  <c:v>20455069.572040129</c:v>
                </c:pt>
                <c:pt idx="87">
                  <c:v>18739893.004563231</c:v>
                </c:pt>
                <c:pt idx="88">
                  <c:v>19457249.767086331</c:v>
                </c:pt>
                <c:pt idx="89">
                  <c:v>22168639.859609425</c:v>
                </c:pt>
                <c:pt idx="90">
                  <c:v>26798129.952132523</c:v>
                </c:pt>
                <c:pt idx="91">
                  <c:v>27110753.384655625</c:v>
                </c:pt>
                <c:pt idx="92">
                  <c:v>22106943.477178719</c:v>
                </c:pt>
                <c:pt idx="93">
                  <c:v>19369000.239701819</c:v>
                </c:pt>
                <c:pt idx="94">
                  <c:v>20771823.67222492</c:v>
                </c:pt>
                <c:pt idx="95">
                  <c:v>21933313.764748015</c:v>
                </c:pt>
                <c:pt idx="96">
                  <c:v>23653212.234410089</c:v>
                </c:pt>
                <c:pt idx="97">
                  <c:v>21218276.212864008</c:v>
                </c:pt>
                <c:pt idx="98">
                  <c:v>21380300.191317927</c:v>
                </c:pt>
                <c:pt idx="99">
                  <c:v>18233084.169771846</c:v>
                </c:pt>
                <c:pt idx="100">
                  <c:v>18178488.148225766</c:v>
                </c:pt>
                <c:pt idx="101">
                  <c:v>20292712.126679685</c:v>
                </c:pt>
                <c:pt idx="102">
                  <c:v>28533776.105133604</c:v>
                </c:pt>
                <c:pt idx="103">
                  <c:v>25521860.08358752</c:v>
                </c:pt>
                <c:pt idx="104">
                  <c:v>21364504.062041439</c:v>
                </c:pt>
                <c:pt idx="105">
                  <c:v>18521328.040495358</c:v>
                </c:pt>
                <c:pt idx="106">
                  <c:v>20696052.018949278</c:v>
                </c:pt>
                <c:pt idx="107">
                  <c:v>22218795.997403197</c:v>
                </c:pt>
                <c:pt idx="108">
                  <c:v>22784321.905369502</c:v>
                </c:pt>
                <c:pt idx="109">
                  <c:v>21142049.013006397</c:v>
                </c:pt>
                <c:pt idx="110">
                  <c:v>20489176.120643292</c:v>
                </c:pt>
                <c:pt idx="111">
                  <c:v>17889443.228280183</c:v>
                </c:pt>
                <c:pt idx="112">
                  <c:v>18625570.335917074</c:v>
                </c:pt>
                <c:pt idx="113">
                  <c:v>22975857.443553966</c:v>
                </c:pt>
                <c:pt idx="114">
                  <c:v>29101284.551190861</c:v>
                </c:pt>
                <c:pt idx="115">
                  <c:v>25159511.658827752</c:v>
                </c:pt>
                <c:pt idx="116">
                  <c:v>19597352.506464645</c:v>
                </c:pt>
                <c:pt idx="117">
                  <c:v>17915150.664101534</c:v>
                </c:pt>
                <c:pt idx="118">
                  <c:v>19156206.98173843</c:v>
                </c:pt>
                <c:pt idx="119">
                  <c:v>21713723.089375321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9-4A25-BFF9-DB382126E982}"/>
            </c:ext>
          </c:extLst>
        </c:ser>
        <c:ser>
          <c:idx val="1"/>
          <c:order val="1"/>
          <c:tx>
            <c:strRef>
              <c:f>'Purchased Power Model'!$P$2</c:f>
              <c:strCache>
                <c:ptCount val="1"/>
                <c:pt idx="0">
                  <c:v>Predicted Purchases +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'Purchased Power Model'!$P$3:$P$146</c:f>
              <c:numCache>
                <c:formatCode>#,##0_);\(#,##0\)</c:formatCode>
                <c:ptCount val="144"/>
                <c:pt idx="0">
                  <c:v>23319726.166035872</c:v>
                </c:pt>
                <c:pt idx="1">
                  <c:v>20602072.726497032</c:v>
                </c:pt>
                <c:pt idx="2">
                  <c:v>20400069.38202247</c:v>
                </c:pt>
                <c:pt idx="3">
                  <c:v>17512242.894337956</c:v>
                </c:pt>
                <c:pt idx="4">
                  <c:v>18360593.749050852</c:v>
                </c:pt>
                <c:pt idx="5">
                  <c:v>22026303.019768566</c:v>
                </c:pt>
                <c:pt idx="6">
                  <c:v>29165986.698658347</c:v>
                </c:pt>
                <c:pt idx="7">
                  <c:v>24719188.546283133</c:v>
                </c:pt>
                <c:pt idx="8">
                  <c:v>18992011.22184499</c:v>
                </c:pt>
                <c:pt idx="9">
                  <c:v>18152848.360295653</c:v>
                </c:pt>
                <c:pt idx="10">
                  <c:v>18327072.076465987</c:v>
                </c:pt>
                <c:pt idx="11">
                  <c:v>20814545.615502324</c:v>
                </c:pt>
                <c:pt idx="12">
                  <c:v>21822827.172368217</c:v>
                </c:pt>
                <c:pt idx="13">
                  <c:v>19986359.3133763</c:v>
                </c:pt>
                <c:pt idx="14">
                  <c:v>18419567.066452809</c:v>
                </c:pt>
                <c:pt idx="15">
                  <c:v>17321234.596307222</c:v>
                </c:pt>
                <c:pt idx="16">
                  <c:v>19260963.122459404</c:v>
                </c:pt>
                <c:pt idx="17">
                  <c:v>23487981.837020259</c:v>
                </c:pt>
                <c:pt idx="18">
                  <c:v>28120076.47570828</c:v>
                </c:pt>
                <c:pt idx="19">
                  <c:v>24190616.947481845</c:v>
                </c:pt>
                <c:pt idx="20">
                  <c:v>19189274.820634644</c:v>
                </c:pt>
                <c:pt idx="21">
                  <c:v>18396519.299587209</c:v>
                </c:pt>
                <c:pt idx="22">
                  <c:v>19407114.850433446</c:v>
                </c:pt>
                <c:pt idx="23">
                  <c:v>20870678.67662853</c:v>
                </c:pt>
                <c:pt idx="24">
                  <c:v>22168475.465058099</c:v>
                </c:pt>
                <c:pt idx="25">
                  <c:v>20477779.737479631</c:v>
                </c:pt>
                <c:pt idx="26">
                  <c:v>20579478.860617112</c:v>
                </c:pt>
                <c:pt idx="27">
                  <c:v>17871840.672824897</c:v>
                </c:pt>
                <c:pt idx="28">
                  <c:v>19588384.01744106</c:v>
                </c:pt>
                <c:pt idx="29">
                  <c:v>21229327.009620458</c:v>
                </c:pt>
                <c:pt idx="30">
                  <c:v>24942516.538450003</c:v>
                </c:pt>
                <c:pt idx="31">
                  <c:v>23377700.99495434</c:v>
                </c:pt>
                <c:pt idx="32">
                  <c:v>19112290.103324465</c:v>
                </c:pt>
                <c:pt idx="33">
                  <c:v>18723528.97532022</c:v>
                </c:pt>
                <c:pt idx="34">
                  <c:v>19849567.161753289</c:v>
                </c:pt>
                <c:pt idx="35">
                  <c:v>22461305.413715549</c:v>
                </c:pt>
                <c:pt idx="36">
                  <c:v>24383296.162336174</c:v>
                </c:pt>
                <c:pt idx="37">
                  <c:v>21794325.592918713</c:v>
                </c:pt>
                <c:pt idx="38">
                  <c:v>21883930.196440041</c:v>
                </c:pt>
                <c:pt idx="39">
                  <c:v>17529809.796851333</c:v>
                </c:pt>
                <c:pt idx="40">
                  <c:v>18440058.190101918</c:v>
                </c:pt>
                <c:pt idx="41">
                  <c:v>22384088.094223112</c:v>
                </c:pt>
                <c:pt idx="42">
                  <c:v>22029590.637793034</c:v>
                </c:pt>
                <c:pt idx="43">
                  <c:v>22572067.012412816</c:v>
                </c:pt>
                <c:pt idx="44">
                  <c:v>18383366.017936178</c:v>
                </c:pt>
                <c:pt idx="45">
                  <c:v>18074247.827508636</c:v>
                </c:pt>
                <c:pt idx="46">
                  <c:v>20340612.167023305</c:v>
                </c:pt>
                <c:pt idx="47">
                  <c:v>21555392.737436078</c:v>
                </c:pt>
                <c:pt idx="48">
                  <c:v>24004352.51980149</c:v>
                </c:pt>
                <c:pt idx="49">
                  <c:v>23054204.556110267</c:v>
                </c:pt>
                <c:pt idx="50">
                  <c:v>21187271.600910861</c:v>
                </c:pt>
                <c:pt idx="51">
                  <c:v>17608471.11259051</c:v>
                </c:pt>
                <c:pt idx="52">
                  <c:v>19242503.931234516</c:v>
                </c:pt>
                <c:pt idx="53">
                  <c:v>20467307.518244665</c:v>
                </c:pt>
                <c:pt idx="54">
                  <c:v>23825269.252945907</c:v>
                </c:pt>
                <c:pt idx="55">
                  <c:v>22921584.095585283</c:v>
                </c:pt>
                <c:pt idx="56">
                  <c:v>20616052.942397274</c:v>
                </c:pt>
                <c:pt idx="57">
                  <c:v>18101646.57720352</c:v>
                </c:pt>
                <c:pt idx="58">
                  <c:v>18785029.348878626</c:v>
                </c:pt>
                <c:pt idx="59">
                  <c:v>20248045.623287342</c:v>
                </c:pt>
                <c:pt idx="60">
                  <c:v>22760861.222419862</c:v>
                </c:pt>
                <c:pt idx="61">
                  <c:v>20762247.892843161</c:v>
                </c:pt>
                <c:pt idx="62">
                  <c:v>19513363.46083118</c:v>
                </c:pt>
                <c:pt idx="63">
                  <c:v>18243041.99053555</c:v>
                </c:pt>
                <c:pt idx="64">
                  <c:v>18981447.98840981</c:v>
                </c:pt>
                <c:pt idx="65">
                  <c:v>22361961.788048137</c:v>
                </c:pt>
                <c:pt idx="66">
                  <c:v>26639122.901736252</c:v>
                </c:pt>
                <c:pt idx="67">
                  <c:v>26491712.045487985</c:v>
                </c:pt>
                <c:pt idx="68">
                  <c:v>20224750.613890864</c:v>
                </c:pt>
                <c:pt idx="69">
                  <c:v>18994279.760977525</c:v>
                </c:pt>
                <c:pt idx="70">
                  <c:v>18728244.281710759</c:v>
                </c:pt>
                <c:pt idx="71">
                  <c:v>22602190.977978807</c:v>
                </c:pt>
                <c:pt idx="72">
                  <c:v>22181990.055147573</c:v>
                </c:pt>
                <c:pt idx="73">
                  <c:v>19166298.324424516</c:v>
                </c:pt>
                <c:pt idx="74">
                  <c:v>20739148.051182669</c:v>
                </c:pt>
                <c:pt idx="75">
                  <c:v>17248638.221500002</c:v>
                </c:pt>
                <c:pt idx="76">
                  <c:v>18398046.415699452</c:v>
                </c:pt>
                <c:pt idx="77">
                  <c:v>22391354.913534991</c:v>
                </c:pt>
                <c:pt idx="78">
                  <c:v>24860298.181522314</c:v>
                </c:pt>
                <c:pt idx="79">
                  <c:v>22094828.970858973</c:v>
                </c:pt>
                <c:pt idx="80">
                  <c:v>20005660.370797742</c:v>
                </c:pt>
                <c:pt idx="81">
                  <c:v>18753166.076334052</c:v>
                </c:pt>
                <c:pt idx="82">
                  <c:v>19915734.159826547</c:v>
                </c:pt>
                <c:pt idx="83">
                  <c:v>23248947.488162566</c:v>
                </c:pt>
                <c:pt idx="84">
                  <c:v>23628753.090534732</c:v>
                </c:pt>
                <c:pt idx="85">
                  <c:v>20420105.586077183</c:v>
                </c:pt>
                <c:pt idx="86">
                  <c:v>21149400.072723567</c:v>
                </c:pt>
                <c:pt idx="87">
                  <c:v>19149646.134654082</c:v>
                </c:pt>
                <c:pt idx="88">
                  <c:v>19714380.099222649</c:v>
                </c:pt>
                <c:pt idx="89">
                  <c:v>22283289.369670328</c:v>
                </c:pt>
                <c:pt idx="90">
                  <c:v>26165167.461851444</c:v>
                </c:pt>
                <c:pt idx="91">
                  <c:v>26022734.539975818</c:v>
                </c:pt>
                <c:pt idx="92">
                  <c:v>21606769.30944337</c:v>
                </c:pt>
                <c:pt idx="93">
                  <c:v>20064760.111500323</c:v>
                </c:pt>
                <c:pt idx="94">
                  <c:v>20813399.239319019</c:v>
                </c:pt>
                <c:pt idx="95">
                  <c:v>21846639.232759647</c:v>
                </c:pt>
                <c:pt idx="96">
                  <c:v>23813400.380272329</c:v>
                </c:pt>
                <c:pt idx="97">
                  <c:v>20934543.293031719</c:v>
                </c:pt>
                <c:pt idx="98">
                  <c:v>21425592.114575792</c:v>
                </c:pt>
                <c:pt idx="99">
                  <c:v>17986056.465880815</c:v>
                </c:pt>
                <c:pt idx="100">
                  <c:v>17942411.046990987</c:v>
                </c:pt>
                <c:pt idx="101">
                  <c:v>20486408.177722193</c:v>
                </c:pt>
                <c:pt idx="102">
                  <c:v>27560146.624273334</c:v>
                </c:pt>
                <c:pt idx="103">
                  <c:v>24545998.933398779</c:v>
                </c:pt>
                <c:pt idx="104">
                  <c:v>20188496.74468828</c:v>
                </c:pt>
                <c:pt idx="105">
                  <c:v>18894882.775701974</c:v>
                </c:pt>
                <c:pt idx="106">
                  <c:v>21019835.621803354</c:v>
                </c:pt>
                <c:pt idx="107">
                  <c:v>21868771.361059591</c:v>
                </c:pt>
                <c:pt idx="108">
                  <c:v>22217386.465287618</c:v>
                </c:pt>
                <c:pt idx="109">
                  <c:v>21325183.494625151</c:v>
                </c:pt>
                <c:pt idx="110">
                  <c:v>20036729.650801968</c:v>
                </c:pt>
                <c:pt idx="111">
                  <c:v>18593636.509081513</c:v>
                </c:pt>
                <c:pt idx="112">
                  <c:v>19085522.94352005</c:v>
                </c:pt>
                <c:pt idx="113">
                  <c:v>23089894.347613439</c:v>
                </c:pt>
                <c:pt idx="114">
                  <c:v>28112228.817390155</c:v>
                </c:pt>
                <c:pt idx="115">
                  <c:v>24404141.879772995</c:v>
                </c:pt>
                <c:pt idx="116">
                  <c:v>18731034.917810604</c:v>
                </c:pt>
                <c:pt idx="117">
                  <c:v>18739426.779696204</c:v>
                </c:pt>
                <c:pt idx="118">
                  <c:v>19160065.518830776</c:v>
                </c:pt>
                <c:pt idx="119">
                  <c:v>21867840.307735056</c:v>
                </c:pt>
                <c:pt idx="120">
                  <c:v>23434890.353204276</c:v>
                </c:pt>
                <c:pt idx="121">
                  <c:v>21123678.237796377</c:v>
                </c:pt>
                <c:pt idx="122">
                  <c:v>20960484.504165076</c:v>
                </c:pt>
                <c:pt idx="123">
                  <c:v>18344703.062399905</c:v>
                </c:pt>
                <c:pt idx="124">
                  <c:v>19350943.615573756</c:v>
                </c:pt>
                <c:pt idx="125">
                  <c:v>22481635.013656579</c:v>
                </c:pt>
                <c:pt idx="126">
                  <c:v>26614274.626594279</c:v>
                </c:pt>
                <c:pt idx="127">
                  <c:v>24617742.668729961</c:v>
                </c:pt>
                <c:pt idx="128">
                  <c:v>20200167.349449724</c:v>
                </c:pt>
                <c:pt idx="129">
                  <c:v>19196299.259416983</c:v>
                </c:pt>
                <c:pt idx="130">
                  <c:v>20153068.825291753</c:v>
                </c:pt>
                <c:pt idx="131">
                  <c:v>22268530.945567705</c:v>
                </c:pt>
                <c:pt idx="132">
                  <c:v>23630697.990139119</c:v>
                </c:pt>
                <c:pt idx="133">
                  <c:v>21320392.191110212</c:v>
                </c:pt>
                <c:pt idx="134">
                  <c:v>21158108.812494516</c:v>
                </c:pt>
                <c:pt idx="135">
                  <c:v>18543241.781906977</c:v>
                </c:pt>
                <c:pt idx="136">
                  <c:v>19550400.820020489</c:v>
                </c:pt>
                <c:pt idx="137">
                  <c:v>22682014.794479884</c:v>
                </c:pt>
                <c:pt idx="138">
                  <c:v>26815581.092981149</c:v>
                </c:pt>
                <c:pt idx="139">
                  <c:v>24819979.947692994</c:v>
                </c:pt>
                <c:pt idx="140">
                  <c:v>20403339.585902959</c:v>
                </c:pt>
                <c:pt idx="141">
                  <c:v>19400410.616252042</c:v>
                </c:pt>
                <c:pt idx="142">
                  <c:v>20358123.483454321</c:v>
                </c:pt>
                <c:pt idx="143">
                  <c:v>22474533.104134321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9-4A25-BFF9-DB382126E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'Purchased Power Model (WN)'!$G$2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'Purchased Power Model (WN)'!$G$3:$G$122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21268156.650984365</c:v>
                </c:pt>
                <c:pt idx="39">
                  <c:v>17858958.884850029</c:v>
                </c:pt>
                <c:pt idx="40">
                  <c:v>18304128.426408004</c:v>
                </c:pt>
                <c:pt idx="41">
                  <c:v>21946899.250017259</c:v>
                </c:pt>
                <c:pt idx="42">
                  <c:v>22857416.227472667</c:v>
                </c:pt>
                <c:pt idx="43">
                  <c:v>23466694.743389614</c:v>
                </c:pt>
                <c:pt idx="44">
                  <c:v>20038780.951614253</c:v>
                </c:pt>
                <c:pt idx="45">
                  <c:v>18479659.4675312</c:v>
                </c:pt>
                <c:pt idx="46">
                  <c:v>20543691.829601996</c:v>
                </c:pt>
                <c:pt idx="47">
                  <c:v>22323785.730134327</c:v>
                </c:pt>
                <c:pt idx="48">
                  <c:v>24490725.048694611</c:v>
                </c:pt>
                <c:pt idx="49">
                  <c:v>22668464.391569141</c:v>
                </c:pt>
                <c:pt idx="50">
                  <c:v>21175011.42675136</c:v>
                </c:pt>
                <c:pt idx="51">
                  <c:v>17875835.385010503</c:v>
                </c:pt>
                <c:pt idx="52">
                  <c:v>18294367.035577338</c:v>
                </c:pt>
                <c:pt idx="53">
                  <c:v>20496129.455374945</c:v>
                </c:pt>
                <c:pt idx="54">
                  <c:v>24118776.490557164</c:v>
                </c:pt>
                <c:pt idx="55">
                  <c:v>23636969.679585539</c:v>
                </c:pt>
                <c:pt idx="56">
                  <c:v>21716455.176306222</c:v>
                </c:pt>
                <c:pt idx="57">
                  <c:v>18327925.288411517</c:v>
                </c:pt>
                <c:pt idx="58">
                  <c:v>18801756.938978352</c:v>
                </c:pt>
                <c:pt idx="59">
                  <c:v>20490427.051083647</c:v>
                </c:pt>
                <c:pt idx="60">
                  <c:v>22653592.291770127</c:v>
                </c:pt>
                <c:pt idx="61">
                  <c:v>20376621.408394717</c:v>
                </c:pt>
                <c:pt idx="62">
                  <c:v>19654912.065019302</c:v>
                </c:pt>
                <c:pt idx="63">
                  <c:v>17963179.641643889</c:v>
                </c:pt>
                <c:pt idx="64">
                  <c:v>18300877.98826848</c:v>
                </c:pt>
                <c:pt idx="65">
                  <c:v>21583814.794893071</c:v>
                </c:pt>
                <c:pt idx="66">
                  <c:v>25836759.291517656</c:v>
                </c:pt>
                <c:pt idx="67">
                  <c:v>26931849.938142244</c:v>
                </c:pt>
                <c:pt idx="68">
                  <c:v>20441779.054766834</c:v>
                </c:pt>
                <c:pt idx="69">
                  <c:v>17245985.091391418</c:v>
                </c:pt>
                <c:pt idx="70">
                  <c:v>18311898.828016009</c:v>
                </c:pt>
                <c:pt idx="71">
                  <c:v>22148843.324640594</c:v>
                </c:pt>
                <c:pt idx="72">
                  <c:v>21977343.197596632</c:v>
                </c:pt>
                <c:pt idx="73">
                  <c:v>18527994.060588073</c:v>
                </c:pt>
                <c:pt idx="74">
                  <c:v>20029068.723579515</c:v>
                </c:pt>
                <c:pt idx="75">
                  <c:v>16543457.686570955</c:v>
                </c:pt>
                <c:pt idx="76">
                  <c:v>17499222.829562396</c:v>
                </c:pt>
                <c:pt idx="77">
                  <c:v>21049768.922553837</c:v>
                </c:pt>
                <c:pt idx="78">
                  <c:v>24733315.02554528</c:v>
                </c:pt>
                <c:pt idx="79">
                  <c:v>23109289.698536724</c:v>
                </c:pt>
                <c:pt idx="80">
                  <c:v>20211497.701528165</c:v>
                </c:pt>
                <c:pt idx="81">
                  <c:v>18586072.364519604</c:v>
                </c:pt>
                <c:pt idx="82">
                  <c:v>19735880.367511041</c:v>
                </c:pt>
                <c:pt idx="83">
                  <c:v>22680921.710502487</c:v>
                </c:pt>
                <c:pt idx="84">
                  <c:v>23743222.716993935</c:v>
                </c:pt>
                <c:pt idx="85">
                  <c:v>20012112.80951703</c:v>
                </c:pt>
                <c:pt idx="86">
                  <c:v>20455069.572040129</c:v>
                </c:pt>
                <c:pt idx="87">
                  <c:v>18739893.004563231</c:v>
                </c:pt>
                <c:pt idx="88">
                  <c:v>19457249.767086331</c:v>
                </c:pt>
                <c:pt idx="89">
                  <c:v>22168639.859609425</c:v>
                </c:pt>
                <c:pt idx="90">
                  <c:v>26798129.952132523</c:v>
                </c:pt>
                <c:pt idx="91">
                  <c:v>27110753.384655625</c:v>
                </c:pt>
                <c:pt idx="92">
                  <c:v>22106943.477178719</c:v>
                </c:pt>
                <c:pt idx="93">
                  <c:v>19369000.239701819</c:v>
                </c:pt>
                <c:pt idx="94">
                  <c:v>20771823.67222492</c:v>
                </c:pt>
                <c:pt idx="95">
                  <c:v>21933313.764748015</c:v>
                </c:pt>
                <c:pt idx="96">
                  <c:v>23653212.234410089</c:v>
                </c:pt>
                <c:pt idx="97">
                  <c:v>21218276.212864008</c:v>
                </c:pt>
                <c:pt idx="98">
                  <c:v>21380300.191317927</c:v>
                </c:pt>
                <c:pt idx="99">
                  <c:v>18233084.169771846</c:v>
                </c:pt>
                <c:pt idx="100">
                  <c:v>18178488.148225766</c:v>
                </c:pt>
                <c:pt idx="101">
                  <c:v>20292712.126679685</c:v>
                </c:pt>
                <c:pt idx="102">
                  <c:v>28533776.105133604</c:v>
                </c:pt>
                <c:pt idx="103">
                  <c:v>25521860.08358752</c:v>
                </c:pt>
                <c:pt idx="104">
                  <c:v>21364504.062041439</c:v>
                </c:pt>
                <c:pt idx="105">
                  <c:v>18521328.040495358</c:v>
                </c:pt>
                <c:pt idx="106">
                  <c:v>20696052.018949278</c:v>
                </c:pt>
                <c:pt idx="107">
                  <c:v>22218795.997403197</c:v>
                </c:pt>
                <c:pt idx="108">
                  <c:v>22784321.905369502</c:v>
                </c:pt>
                <c:pt idx="109">
                  <c:v>21142049.013006397</c:v>
                </c:pt>
                <c:pt idx="110">
                  <c:v>20489176.120643292</c:v>
                </c:pt>
                <c:pt idx="111">
                  <c:v>17889443.228280183</c:v>
                </c:pt>
                <c:pt idx="112">
                  <c:v>18625570.335917074</c:v>
                </c:pt>
                <c:pt idx="113">
                  <c:v>22975857.443553966</c:v>
                </c:pt>
                <c:pt idx="114">
                  <c:v>29101284.551190861</c:v>
                </c:pt>
                <c:pt idx="115">
                  <c:v>25159511.658827752</c:v>
                </c:pt>
                <c:pt idx="116">
                  <c:v>19597352.506464645</c:v>
                </c:pt>
                <c:pt idx="117">
                  <c:v>17915150.664101534</c:v>
                </c:pt>
                <c:pt idx="118">
                  <c:v>19156206.98173843</c:v>
                </c:pt>
                <c:pt idx="119">
                  <c:v>21713723.089375321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F-46EF-A0CB-1EC1D0EAE863}"/>
            </c:ext>
          </c:extLst>
        </c:ser>
        <c:ser>
          <c:idx val="1"/>
          <c:order val="1"/>
          <c:tx>
            <c:strRef>
              <c:f>'Purchased Power Model (WN)'!$P$2</c:f>
              <c:strCache>
                <c:ptCount val="1"/>
                <c:pt idx="0">
                  <c:v>Number of Customers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44257</c:v>
                </c:pt>
                <c:pt idx="123">
                  <c:v>44288</c:v>
                </c:pt>
                <c:pt idx="124">
                  <c:v>44318</c:v>
                </c:pt>
                <c:pt idx="125">
                  <c:v>44349</c:v>
                </c:pt>
                <c:pt idx="126">
                  <c:v>44379</c:v>
                </c:pt>
                <c:pt idx="127">
                  <c:v>44410</c:v>
                </c:pt>
                <c:pt idx="128">
                  <c:v>44441</c:v>
                </c:pt>
                <c:pt idx="129">
                  <c:v>44471</c:v>
                </c:pt>
                <c:pt idx="130">
                  <c:v>44502</c:v>
                </c:pt>
                <c:pt idx="131">
                  <c:v>44532</c:v>
                </c:pt>
                <c:pt idx="132">
                  <c:v>44563</c:v>
                </c:pt>
                <c:pt idx="133">
                  <c:v>44594</c:v>
                </c:pt>
                <c:pt idx="134">
                  <c:v>44623</c:v>
                </c:pt>
                <c:pt idx="135">
                  <c:v>44654</c:v>
                </c:pt>
                <c:pt idx="136">
                  <c:v>44684</c:v>
                </c:pt>
                <c:pt idx="137">
                  <c:v>44715</c:v>
                </c:pt>
                <c:pt idx="138">
                  <c:v>44745</c:v>
                </c:pt>
                <c:pt idx="139">
                  <c:v>44776</c:v>
                </c:pt>
                <c:pt idx="140">
                  <c:v>44807</c:v>
                </c:pt>
                <c:pt idx="141">
                  <c:v>44837</c:v>
                </c:pt>
                <c:pt idx="142">
                  <c:v>44868</c:v>
                </c:pt>
                <c:pt idx="143">
                  <c:v>44898</c:v>
                </c:pt>
              </c:numCache>
            </c:numRef>
          </c:cat>
          <c:val>
            <c:numRef>
              <c:f>'Purchased Power Model (WN)'!$R$3:$R$146</c:f>
              <c:numCache>
                <c:formatCode>#,##0_);\(#,##0\)</c:formatCode>
                <c:ptCount val="144"/>
                <c:pt idx="0">
                  <c:v>22747162.652555667</c:v>
                </c:pt>
                <c:pt idx="1">
                  <c:v>20322154.956678774</c:v>
                </c:pt>
                <c:pt idx="2">
                  <c:v>20797633.432256483</c:v>
                </c:pt>
                <c:pt idx="3">
                  <c:v>18305372.700643498</c:v>
                </c:pt>
                <c:pt idx="4">
                  <c:v>18660404.836096939</c:v>
                </c:pt>
                <c:pt idx="5">
                  <c:v>21194115.855568573</c:v>
                </c:pt>
                <c:pt idx="6">
                  <c:v>25043479.222759355</c:v>
                </c:pt>
                <c:pt idx="7">
                  <c:v>23909669.630394042</c:v>
                </c:pt>
                <c:pt idx="8">
                  <c:v>20031904.712928258</c:v>
                </c:pt>
                <c:pt idx="9">
                  <c:v>18745510.432592165</c:v>
                </c:pt>
                <c:pt idx="10">
                  <c:v>19952914.106900387</c:v>
                </c:pt>
                <c:pt idx="11">
                  <c:v>22173107.163280353</c:v>
                </c:pt>
                <c:pt idx="12">
                  <c:v>23024865.884716377</c:v>
                </c:pt>
                <c:pt idx="13">
                  <c:v>20599580.04443958</c:v>
                </c:pt>
                <c:pt idx="14">
                  <c:v>20405188.21569619</c:v>
                </c:pt>
                <c:pt idx="15">
                  <c:v>20331278.9099041</c:v>
                </c:pt>
                <c:pt idx="16">
                  <c:v>17799876.719375975</c:v>
                </c:pt>
                <c:pt idx="17">
                  <c:v>20987448.213888768</c:v>
                </c:pt>
                <c:pt idx="18">
                  <c:v>25412122.987718057</c:v>
                </c:pt>
                <c:pt idx="19">
                  <c:v>23277120.214563798</c:v>
                </c:pt>
                <c:pt idx="20">
                  <c:v>19263287.221188568</c:v>
                </c:pt>
                <c:pt idx="21">
                  <c:v>17516659.715039071</c:v>
                </c:pt>
                <c:pt idx="22">
                  <c:v>18386012.52250674</c:v>
                </c:pt>
                <c:pt idx="23">
                  <c:v>20857992.203619257</c:v>
                </c:pt>
                <c:pt idx="24">
                  <c:v>24173883.439152155</c:v>
                </c:pt>
                <c:pt idx="25">
                  <c:v>21329818.512070458</c:v>
                </c:pt>
                <c:pt idx="26">
                  <c:v>21470427.168623857</c:v>
                </c:pt>
                <c:pt idx="27">
                  <c:v>19096535.261230789</c:v>
                </c:pt>
                <c:pt idx="28">
                  <c:v>16870912.974949118</c:v>
                </c:pt>
                <c:pt idx="29">
                  <c:v>20672244.308493186</c:v>
                </c:pt>
                <c:pt idx="30">
                  <c:v>24833384.066406529</c:v>
                </c:pt>
                <c:pt idx="31">
                  <c:v>23111513.849413745</c:v>
                </c:pt>
                <c:pt idx="32">
                  <c:v>19427935.25262253</c:v>
                </c:pt>
                <c:pt idx="33">
                  <c:v>18038886.864019059</c:v>
                </c:pt>
                <c:pt idx="34">
                  <c:v>19161632.667701229</c:v>
                </c:pt>
                <c:pt idx="35">
                  <c:v>21604801.585150935</c:v>
                </c:pt>
                <c:pt idx="36">
                  <c:v>22947834.648904141</c:v>
                </c:pt>
                <c:pt idx="37">
                  <c:v>19786623.768335212</c:v>
                </c:pt>
                <c:pt idx="38">
                  <c:v>19755697.058269452</c:v>
                </c:pt>
                <c:pt idx="39">
                  <c:v>18076448.385528471</c:v>
                </c:pt>
                <c:pt idx="40">
                  <c:v>18609160.744796637</c:v>
                </c:pt>
                <c:pt idx="41">
                  <c:v>21430084.021422345</c:v>
                </c:pt>
                <c:pt idx="42">
                  <c:v>26819169.106798224</c:v>
                </c:pt>
                <c:pt idx="43">
                  <c:v>24880810.18568778</c:v>
                </c:pt>
                <c:pt idx="44">
                  <c:v>21215332.598048799</c:v>
                </c:pt>
                <c:pt idx="45">
                  <c:v>18952711.15253308</c:v>
                </c:pt>
                <c:pt idx="46">
                  <c:v>19698337.863285273</c:v>
                </c:pt>
                <c:pt idx="47">
                  <c:v>22370241.394230977</c:v>
                </c:pt>
                <c:pt idx="48">
                  <c:v>23441069.226036869</c:v>
                </c:pt>
                <c:pt idx="49">
                  <c:v>20250237.914765511</c:v>
                </c:pt>
                <c:pt idx="50">
                  <c:v>20452958.630751979</c:v>
                </c:pt>
                <c:pt idx="51">
                  <c:v>18109176.837151062</c:v>
                </c:pt>
                <c:pt idx="52">
                  <c:v>17892231.946049616</c:v>
                </c:pt>
                <c:pt idx="53">
                  <c:v>21992138.201989662</c:v>
                </c:pt>
                <c:pt idx="54">
                  <c:v>26381659.219975974</c:v>
                </c:pt>
                <c:pt idx="55">
                  <c:v>24799141.56997231</c:v>
                </c:pt>
                <c:pt idx="56">
                  <c:v>20758658.495555691</c:v>
                </c:pt>
                <c:pt idx="57">
                  <c:v>18872681.887009475</c:v>
                </c:pt>
                <c:pt idx="58">
                  <c:v>19611854.520112228</c:v>
                </c:pt>
                <c:pt idx="59">
                  <c:v>21944863.624649886</c:v>
                </c:pt>
                <c:pt idx="60">
                  <c:v>22946967.516456325</c:v>
                </c:pt>
                <c:pt idx="61">
                  <c:v>20830499.851689722</c:v>
                </c:pt>
                <c:pt idx="62">
                  <c:v>20704119.068344839</c:v>
                </c:pt>
                <c:pt idx="63">
                  <c:v>17658207.8297261</c:v>
                </c:pt>
                <c:pt idx="64">
                  <c:v>18254962.410093617</c:v>
                </c:pt>
                <c:pt idx="65">
                  <c:v>21279238.794873931</c:v>
                </c:pt>
                <c:pt idx="66">
                  <c:v>25378763.849957198</c:v>
                </c:pt>
                <c:pt idx="67">
                  <c:v>24615775.311078846</c:v>
                </c:pt>
                <c:pt idx="68">
                  <c:v>19966072.089616708</c:v>
                </c:pt>
                <c:pt idx="69">
                  <c:v>16987801.847950824</c:v>
                </c:pt>
                <c:pt idx="70">
                  <c:v>19267380.772694666</c:v>
                </c:pt>
                <c:pt idx="71">
                  <c:v>21336639.794533744</c:v>
                </c:pt>
                <c:pt idx="72">
                  <c:v>22938931.410592478</c:v>
                </c:pt>
                <c:pt idx="73">
                  <c:v>20187297.911130302</c:v>
                </c:pt>
                <c:pt idx="74">
                  <c:v>19945506.097628891</c:v>
                </c:pt>
                <c:pt idx="75">
                  <c:v>17327741.174783025</c:v>
                </c:pt>
                <c:pt idx="76">
                  <c:v>18133396.925211187</c:v>
                </c:pt>
                <c:pt idx="77">
                  <c:v>20814324.46818012</c:v>
                </c:pt>
                <c:pt idx="78">
                  <c:v>26154505.545350023</c:v>
                </c:pt>
                <c:pt idx="79">
                  <c:v>25292295.957272585</c:v>
                </c:pt>
                <c:pt idx="80">
                  <c:v>20058915.360660385</c:v>
                </c:pt>
                <c:pt idx="81">
                  <c:v>18674873.756930698</c:v>
                </c:pt>
                <c:pt idx="82">
                  <c:v>19611579.95530111</c:v>
                </c:pt>
                <c:pt idx="83">
                  <c:v>21331505.761458062</c:v>
                </c:pt>
                <c:pt idx="84">
                  <c:v>23368384.953370482</c:v>
                </c:pt>
                <c:pt idx="85">
                  <c:v>20528739.42469614</c:v>
                </c:pt>
                <c:pt idx="86">
                  <c:v>20073177.918359827</c:v>
                </c:pt>
                <c:pt idx="87">
                  <c:v>17735884.540954128</c:v>
                </c:pt>
                <c:pt idx="88">
                  <c:v>18888599.108066514</c:v>
                </c:pt>
                <c:pt idx="89">
                  <c:v>22155562.845476642</c:v>
                </c:pt>
                <c:pt idx="90">
                  <c:v>27029546.055506084</c:v>
                </c:pt>
                <c:pt idx="91">
                  <c:v>25481741.905694276</c:v>
                </c:pt>
                <c:pt idx="92">
                  <c:v>20469932.996606633</c:v>
                </c:pt>
                <c:pt idx="93">
                  <c:v>18263681.363409635</c:v>
                </c:pt>
                <c:pt idx="94">
                  <c:v>19868124.914507192</c:v>
                </c:pt>
                <c:pt idx="95">
                  <c:v>22105265.77261287</c:v>
                </c:pt>
                <c:pt idx="96">
                  <c:v>23210122.073298667</c:v>
                </c:pt>
                <c:pt idx="97">
                  <c:v>21334195.204081479</c:v>
                </c:pt>
                <c:pt idx="98">
                  <c:v>20833281.769521568</c:v>
                </c:pt>
                <c:pt idx="99">
                  <c:v>18501065.83941545</c:v>
                </c:pt>
                <c:pt idx="100">
                  <c:v>19487542.196660317</c:v>
                </c:pt>
                <c:pt idx="101">
                  <c:v>22179587.150461018</c:v>
                </c:pt>
                <c:pt idx="102">
                  <c:v>27470619.082794525</c:v>
                </c:pt>
                <c:pt idx="103">
                  <c:v>25467325.438655723</c:v>
                </c:pt>
                <c:pt idx="104">
                  <c:v>21240842.564420223</c:v>
                </c:pt>
                <c:pt idx="105">
                  <c:v>18678298.108940583</c:v>
                </c:pt>
                <c:pt idx="106">
                  <c:v>19675663.678429537</c:v>
                </c:pt>
                <c:pt idx="107">
                  <c:v>22455697.867393702</c:v>
                </c:pt>
                <c:pt idx="108">
                  <c:v>23999104.4961433</c:v>
                </c:pt>
                <c:pt idx="109">
                  <c:v>21385666.038233623</c:v>
                </c:pt>
                <c:pt idx="110">
                  <c:v>21342432.692471106</c:v>
                </c:pt>
                <c:pt idx="111">
                  <c:v>17536034.231048349</c:v>
                </c:pt>
                <c:pt idx="112">
                  <c:v>18752478.710622739</c:v>
                </c:pt>
                <c:pt idx="113">
                  <c:v>22194989.366719145</c:v>
                </c:pt>
                <c:pt idx="114">
                  <c:v>27396565.251484968</c:v>
                </c:pt>
                <c:pt idx="115">
                  <c:v>25132130.829746667</c:v>
                </c:pt>
                <c:pt idx="116">
                  <c:v>20791226.444420949</c:v>
                </c:pt>
                <c:pt idx="117">
                  <c:v>18062427.183727283</c:v>
                </c:pt>
                <c:pt idx="118">
                  <c:v>19805216.045840945</c:v>
                </c:pt>
                <c:pt idx="119">
                  <c:v>21735960.160814952</c:v>
                </c:pt>
                <c:pt idx="120">
                  <c:v>23434890.353204276</c:v>
                </c:pt>
                <c:pt idx="121">
                  <c:v>21123678.237796377</c:v>
                </c:pt>
                <c:pt idx="122">
                  <c:v>20960484.504165076</c:v>
                </c:pt>
                <c:pt idx="123">
                  <c:v>18344703.062399905</c:v>
                </c:pt>
                <c:pt idx="124">
                  <c:v>19350943.615573756</c:v>
                </c:pt>
                <c:pt idx="125">
                  <c:v>22481635.013656579</c:v>
                </c:pt>
                <c:pt idx="126">
                  <c:v>26614274.626594279</c:v>
                </c:pt>
                <c:pt idx="127">
                  <c:v>24617742.668729961</c:v>
                </c:pt>
                <c:pt idx="128">
                  <c:v>20200167.349449724</c:v>
                </c:pt>
                <c:pt idx="129">
                  <c:v>19196299.259416983</c:v>
                </c:pt>
                <c:pt idx="130">
                  <c:v>20153068.825291753</c:v>
                </c:pt>
                <c:pt idx="131">
                  <c:v>22268530.945567705</c:v>
                </c:pt>
                <c:pt idx="132">
                  <c:v>23630697.990139119</c:v>
                </c:pt>
                <c:pt idx="133">
                  <c:v>21320392.191110212</c:v>
                </c:pt>
                <c:pt idx="134">
                  <c:v>21158108.812494516</c:v>
                </c:pt>
                <c:pt idx="135">
                  <c:v>18543241.781906977</c:v>
                </c:pt>
                <c:pt idx="136">
                  <c:v>19550400.820020489</c:v>
                </c:pt>
                <c:pt idx="137">
                  <c:v>22682014.794479884</c:v>
                </c:pt>
                <c:pt idx="138">
                  <c:v>26815581.092981149</c:v>
                </c:pt>
                <c:pt idx="139">
                  <c:v>24819979.947692994</c:v>
                </c:pt>
                <c:pt idx="140">
                  <c:v>20403339.585902959</c:v>
                </c:pt>
                <c:pt idx="141">
                  <c:v>19400410.616252042</c:v>
                </c:pt>
                <c:pt idx="142">
                  <c:v>20358123.483454321</c:v>
                </c:pt>
                <c:pt idx="143">
                  <c:v>22474533.104134321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F-46EF-A0CB-1EC1D0E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Purchases!$D$1</c:f>
              <c:strCache>
                <c:ptCount val="1"/>
                <c:pt idx="0">
                  <c:v> Purchased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Purchases!$A$2:$A$246</c:f>
              <c:numCache>
                <c:formatCode>mmm\-yyyy</c:formatCode>
                <c:ptCount val="24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</c:numCache>
            </c:numRef>
          </c:cat>
          <c:val>
            <c:numRef>
              <c:f>Purchases!$D$2:$D$246</c:f>
              <c:numCache>
                <c:formatCode>#,##0</c:formatCode>
                <c:ptCount val="245"/>
                <c:pt idx="0">
                  <c:v>17495990</c:v>
                </c:pt>
                <c:pt idx="1">
                  <c:v>16164900</c:v>
                </c:pt>
                <c:pt idx="2">
                  <c:v>17164270</c:v>
                </c:pt>
                <c:pt idx="3">
                  <c:v>14641220</c:v>
                </c:pt>
                <c:pt idx="4">
                  <c:v>13901070</c:v>
                </c:pt>
                <c:pt idx="5">
                  <c:v>17912530</c:v>
                </c:pt>
                <c:pt idx="6">
                  <c:v>22524750</c:v>
                </c:pt>
                <c:pt idx="7">
                  <c:v>21130000</c:v>
                </c:pt>
                <c:pt idx="8">
                  <c:v>15286330</c:v>
                </c:pt>
                <c:pt idx="9">
                  <c:v>15621710</c:v>
                </c:pt>
                <c:pt idx="10">
                  <c:v>19270390</c:v>
                </c:pt>
                <c:pt idx="11">
                  <c:v>22725770</c:v>
                </c:pt>
                <c:pt idx="12">
                  <c:v>23594230</c:v>
                </c:pt>
                <c:pt idx="13">
                  <c:v>23081780</c:v>
                </c:pt>
                <c:pt idx="14">
                  <c:v>22044680</c:v>
                </c:pt>
                <c:pt idx="15">
                  <c:v>19604320</c:v>
                </c:pt>
                <c:pt idx="16">
                  <c:v>20629530</c:v>
                </c:pt>
                <c:pt idx="17">
                  <c:v>23858190</c:v>
                </c:pt>
                <c:pt idx="18">
                  <c:v>24738400</c:v>
                </c:pt>
                <c:pt idx="19">
                  <c:v>26868930</c:v>
                </c:pt>
                <c:pt idx="20">
                  <c:v>21805090</c:v>
                </c:pt>
                <c:pt idx="21">
                  <c:v>20415380</c:v>
                </c:pt>
                <c:pt idx="22">
                  <c:v>20794820</c:v>
                </c:pt>
                <c:pt idx="23">
                  <c:v>23640870</c:v>
                </c:pt>
                <c:pt idx="24">
                  <c:v>24088720</c:v>
                </c:pt>
                <c:pt idx="25">
                  <c:v>22590240</c:v>
                </c:pt>
                <c:pt idx="26">
                  <c:v>22046700</c:v>
                </c:pt>
                <c:pt idx="27">
                  <c:v>18811030</c:v>
                </c:pt>
                <c:pt idx="28">
                  <c:v>18644710</c:v>
                </c:pt>
                <c:pt idx="29">
                  <c:v>22711700</c:v>
                </c:pt>
                <c:pt idx="30">
                  <c:v>26419990</c:v>
                </c:pt>
                <c:pt idx="31">
                  <c:v>24364410</c:v>
                </c:pt>
                <c:pt idx="32">
                  <c:v>20565410</c:v>
                </c:pt>
                <c:pt idx="33">
                  <c:v>18777310</c:v>
                </c:pt>
                <c:pt idx="34">
                  <c:v>20094850</c:v>
                </c:pt>
                <c:pt idx="35">
                  <c:v>23525530</c:v>
                </c:pt>
                <c:pt idx="36">
                  <c:v>24531230</c:v>
                </c:pt>
                <c:pt idx="37">
                  <c:v>20746930</c:v>
                </c:pt>
                <c:pt idx="38">
                  <c:v>20762810</c:v>
                </c:pt>
                <c:pt idx="39">
                  <c:v>18304870</c:v>
                </c:pt>
                <c:pt idx="40">
                  <c:v>17564207.692307696</c:v>
                </c:pt>
                <c:pt idx="41">
                  <c:v>20151815.384615388</c:v>
                </c:pt>
                <c:pt idx="42">
                  <c:v>21718676.923076924</c:v>
                </c:pt>
                <c:pt idx="43">
                  <c:v>24301261.53846154</c:v>
                </c:pt>
                <c:pt idx="44">
                  <c:v>19833253.846153848</c:v>
                </c:pt>
                <c:pt idx="45">
                  <c:v>19025038.46153846</c:v>
                </c:pt>
                <c:pt idx="46">
                  <c:v>19026900</c:v>
                </c:pt>
                <c:pt idx="47">
                  <c:v>22891584.615384616</c:v>
                </c:pt>
                <c:pt idx="48">
                  <c:v>23520946.153846156</c:v>
                </c:pt>
                <c:pt idx="49">
                  <c:v>20573876.923076924</c:v>
                </c:pt>
                <c:pt idx="50">
                  <c:v>20520861.53846154</c:v>
                </c:pt>
                <c:pt idx="51">
                  <c:v>17431446.153846156</c:v>
                </c:pt>
                <c:pt idx="52">
                  <c:v>19189807.692307692</c:v>
                </c:pt>
                <c:pt idx="53">
                  <c:v>23092030.769230768</c:v>
                </c:pt>
                <c:pt idx="54">
                  <c:v>28187746.153846156</c:v>
                </c:pt>
                <c:pt idx="55">
                  <c:v>26984638.46153846</c:v>
                </c:pt>
                <c:pt idx="56">
                  <c:v>19634115.384615384</c:v>
                </c:pt>
                <c:pt idx="57">
                  <c:v>18062553.846153848</c:v>
                </c:pt>
                <c:pt idx="58">
                  <c:v>20064653.846153848</c:v>
                </c:pt>
                <c:pt idx="59">
                  <c:v>24022230.769230772</c:v>
                </c:pt>
                <c:pt idx="60">
                  <c:v>23397084.615384616</c:v>
                </c:pt>
                <c:pt idx="61">
                  <c:v>20570361.53846154</c:v>
                </c:pt>
                <c:pt idx="62">
                  <c:v>21011815.384615388</c:v>
                </c:pt>
                <c:pt idx="63">
                  <c:v>18252353.846153848</c:v>
                </c:pt>
                <c:pt idx="64">
                  <c:v>18454400</c:v>
                </c:pt>
                <c:pt idx="65">
                  <c:v>21528092.307692308</c:v>
                </c:pt>
                <c:pt idx="66">
                  <c:v>28389523.076923076</c:v>
                </c:pt>
                <c:pt idx="67">
                  <c:v>24810530.769230768</c:v>
                </c:pt>
                <c:pt idx="68">
                  <c:v>19628307.692307692</c:v>
                </c:pt>
                <c:pt idx="69">
                  <c:v>18511823.076923076</c:v>
                </c:pt>
                <c:pt idx="70">
                  <c:v>18941946.153846152</c:v>
                </c:pt>
                <c:pt idx="71">
                  <c:v>21539476.923076924</c:v>
                </c:pt>
                <c:pt idx="72">
                  <c:v>22039669.230769232</c:v>
                </c:pt>
                <c:pt idx="73">
                  <c:v>19611361.53846154</c:v>
                </c:pt>
                <c:pt idx="74">
                  <c:v>18499069.230769232</c:v>
                </c:pt>
                <c:pt idx="75">
                  <c:v>19946663.636363637</c:v>
                </c:pt>
                <c:pt idx="76">
                  <c:v>18352863.636363637</c:v>
                </c:pt>
                <c:pt idx="77">
                  <c:v>22640936.36363636</c:v>
                </c:pt>
                <c:pt idx="78">
                  <c:v>27569299.999999996</c:v>
                </c:pt>
                <c:pt idx="79">
                  <c:v>23505663.636363633</c:v>
                </c:pt>
                <c:pt idx="80">
                  <c:v>18912418.18181818</c:v>
                </c:pt>
                <c:pt idx="81">
                  <c:v>17381318.18181818</c:v>
                </c:pt>
                <c:pt idx="82">
                  <c:v>18308972.727272727</c:v>
                </c:pt>
                <c:pt idx="83">
                  <c:v>20133590.90909091</c:v>
                </c:pt>
                <c:pt idx="84">
                  <c:v>23386699.999999996</c:v>
                </c:pt>
                <c:pt idx="85">
                  <c:v>21170572.727272727</c:v>
                </c:pt>
                <c:pt idx="86">
                  <c:v>21583554.545454543</c:v>
                </c:pt>
                <c:pt idx="87">
                  <c:v>19125345.454545453</c:v>
                </c:pt>
                <c:pt idx="88">
                  <c:v>17617625.000000004</c:v>
                </c:pt>
                <c:pt idx="89">
                  <c:v>19936866.666666668</c:v>
                </c:pt>
                <c:pt idx="90">
                  <c:v>23686275</c:v>
                </c:pt>
                <c:pt idx="91">
                  <c:v>22403900.000000004</c:v>
                </c:pt>
                <c:pt idx="92">
                  <c:v>18880325</c:v>
                </c:pt>
                <c:pt idx="93">
                  <c:v>18114283.333333336</c:v>
                </c:pt>
                <c:pt idx="94">
                  <c:v>19414258.333333336</c:v>
                </c:pt>
                <c:pt idx="95">
                  <c:v>22361725</c:v>
                </c:pt>
                <c:pt idx="96">
                  <c:v>24264791.666666668</c:v>
                </c:pt>
                <c:pt idx="97">
                  <c:v>20828400.000000004</c:v>
                </c:pt>
                <c:pt idx="98">
                  <c:v>21052908.333333336</c:v>
                </c:pt>
                <c:pt idx="99">
                  <c:v>17638016.666666668</c:v>
                </c:pt>
                <c:pt idx="100">
                  <c:v>18077492.307692308</c:v>
                </c:pt>
                <c:pt idx="101">
                  <c:v>21714569.230769232</c:v>
                </c:pt>
                <c:pt idx="102">
                  <c:v>22619392.307692308</c:v>
                </c:pt>
                <c:pt idx="103">
                  <c:v>23222976.923076924</c:v>
                </c:pt>
                <c:pt idx="104">
                  <c:v>19789369.230769232</c:v>
                </c:pt>
                <c:pt idx="105">
                  <c:v>18224553.846153844</c:v>
                </c:pt>
                <c:pt idx="106">
                  <c:v>20282892.307692308</c:v>
                </c:pt>
                <c:pt idx="107">
                  <c:v>22057292.307692308</c:v>
                </c:pt>
                <c:pt idx="108">
                  <c:v>24198407.692307692</c:v>
                </c:pt>
                <c:pt idx="109">
                  <c:v>22363023.07692308</c:v>
                </c:pt>
                <c:pt idx="110">
                  <c:v>20856446.153846156</c:v>
                </c:pt>
                <c:pt idx="111">
                  <c:v>17544146.153846156</c:v>
                </c:pt>
                <c:pt idx="112">
                  <c:v>17949553.846153844</c:v>
                </c:pt>
                <c:pt idx="113">
                  <c:v>20138192.307692308</c:v>
                </c:pt>
                <c:pt idx="114">
                  <c:v>23747715.384615384</c:v>
                </c:pt>
                <c:pt idx="115">
                  <c:v>23252784.615384616</c:v>
                </c:pt>
                <c:pt idx="116">
                  <c:v>21319146.153846156</c:v>
                </c:pt>
                <c:pt idx="117">
                  <c:v>17917492.307692308</c:v>
                </c:pt>
                <c:pt idx="118">
                  <c:v>18378200</c:v>
                </c:pt>
                <c:pt idx="119">
                  <c:v>20053746.153846152</c:v>
                </c:pt>
                <c:pt idx="120">
                  <c:v>22182546.149999999</c:v>
                </c:pt>
                <c:pt idx="121">
                  <c:v>19893038.460000001</c:v>
                </c:pt>
                <c:pt idx="122">
                  <c:v>19158792.309999999</c:v>
                </c:pt>
                <c:pt idx="123">
                  <c:v>17454523.079999998</c:v>
                </c:pt>
                <c:pt idx="124">
                  <c:v>17779684.620000001</c:v>
                </c:pt>
                <c:pt idx="125">
                  <c:v>21050084.620000001</c:v>
                </c:pt>
                <c:pt idx="126">
                  <c:v>25290492.309999999</c:v>
                </c:pt>
                <c:pt idx="127">
                  <c:v>26373046.149999999</c:v>
                </c:pt>
                <c:pt idx="128">
                  <c:v>19870438.460000001</c:v>
                </c:pt>
                <c:pt idx="129">
                  <c:v>16662107.689999999</c:v>
                </c:pt>
                <c:pt idx="130">
                  <c:v>17715484.620000001</c:v>
                </c:pt>
                <c:pt idx="131">
                  <c:v>21539892.309999999</c:v>
                </c:pt>
                <c:pt idx="132">
                  <c:v>21332376.190000001</c:v>
                </c:pt>
                <c:pt idx="133">
                  <c:v>17869619.050000001</c:v>
                </c:pt>
                <c:pt idx="134">
                  <c:v>19357285.710000001</c:v>
                </c:pt>
                <c:pt idx="135">
                  <c:v>15858266.67</c:v>
                </c:pt>
                <c:pt idx="136">
                  <c:v>16800623.809999999</c:v>
                </c:pt>
                <c:pt idx="137">
                  <c:v>20337761.899999999</c:v>
                </c:pt>
                <c:pt idx="138">
                  <c:v>24007900</c:v>
                </c:pt>
                <c:pt idx="139">
                  <c:v>22370466.670000002</c:v>
                </c:pt>
                <c:pt idx="140">
                  <c:v>19459266.670000002</c:v>
                </c:pt>
                <c:pt idx="141">
                  <c:v>17820433.329999998</c:v>
                </c:pt>
                <c:pt idx="142">
                  <c:v>18956833.329999998</c:v>
                </c:pt>
                <c:pt idx="143">
                  <c:v>21888466.670000002</c:v>
                </c:pt>
                <c:pt idx="144">
                  <c:v>22905166.670000002</c:v>
                </c:pt>
                <c:pt idx="145">
                  <c:v>19173200</c:v>
                </c:pt>
                <c:pt idx="146">
                  <c:v>19615300</c:v>
                </c:pt>
                <c:pt idx="147">
                  <c:v>17899266.670000002</c:v>
                </c:pt>
                <c:pt idx="148">
                  <c:v>18615766.670000002</c:v>
                </c:pt>
                <c:pt idx="149">
                  <c:v>21326300</c:v>
                </c:pt>
                <c:pt idx="150">
                  <c:v>25954933.329999998</c:v>
                </c:pt>
                <c:pt idx="151">
                  <c:v>26266700</c:v>
                </c:pt>
                <c:pt idx="152">
                  <c:v>21262033.329999998</c:v>
                </c:pt>
                <c:pt idx="153">
                  <c:v>18523233.329999998</c:v>
                </c:pt>
                <c:pt idx="154">
                  <c:v>19925200</c:v>
                </c:pt>
                <c:pt idx="155">
                  <c:v>21085833.329999998</c:v>
                </c:pt>
                <c:pt idx="156">
                  <c:v>22756420</c:v>
                </c:pt>
                <c:pt idx="157">
                  <c:v>20319680</c:v>
                </c:pt>
                <c:pt idx="158">
                  <c:v>20479900</c:v>
                </c:pt>
                <c:pt idx="159">
                  <c:v>17330880</c:v>
                </c:pt>
                <c:pt idx="160">
                  <c:v>17274480</c:v>
                </c:pt>
                <c:pt idx="161">
                  <c:v>19386900</c:v>
                </c:pt>
                <c:pt idx="162">
                  <c:v>27626160</c:v>
                </c:pt>
                <c:pt idx="163">
                  <c:v>24612440</c:v>
                </c:pt>
                <c:pt idx="164">
                  <c:v>20453280</c:v>
                </c:pt>
                <c:pt idx="165">
                  <c:v>17608300</c:v>
                </c:pt>
                <c:pt idx="166">
                  <c:v>19781220</c:v>
                </c:pt>
                <c:pt idx="167">
                  <c:v>21302160</c:v>
                </c:pt>
                <c:pt idx="168">
                  <c:v>21866419.999999996</c:v>
                </c:pt>
                <c:pt idx="169">
                  <c:v>20225660</c:v>
                </c:pt>
                <c:pt idx="170">
                  <c:v>19574300</c:v>
                </c:pt>
                <c:pt idx="171">
                  <c:v>16976080</c:v>
                </c:pt>
                <c:pt idx="172">
                  <c:v>17713720</c:v>
                </c:pt>
                <c:pt idx="173">
                  <c:v>22065520</c:v>
                </c:pt>
                <c:pt idx="174">
                  <c:v>28192460</c:v>
                </c:pt>
                <c:pt idx="175">
                  <c:v>24252200</c:v>
                </c:pt>
                <c:pt idx="176">
                  <c:v>18691553.740000002</c:v>
                </c:pt>
                <c:pt idx="177">
                  <c:v>17010864.789999999</c:v>
                </c:pt>
                <c:pt idx="178">
                  <c:v>18253434</c:v>
                </c:pt>
                <c:pt idx="179">
                  <c:v>20812463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0-472E-9570-2DEFFA2B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Purchases!$E$1</c:f>
              <c:strCache>
                <c:ptCount val="1"/>
                <c:pt idx="0">
                  <c:v>Embedded Distributor Usage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Purchases!$A$14:$A$246</c:f>
              <c:numCache>
                <c:formatCode>mmm\-yyyy</c:formatCode>
                <c:ptCount val="23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</c:numCache>
            </c:numRef>
          </c:cat>
          <c:val>
            <c:numRef>
              <c:f>Purchases!$E$14:$E$246</c:f>
              <c:numCache>
                <c:formatCode>#,##0</c:formatCode>
                <c:ptCount val="233"/>
                <c:pt idx="0">
                  <c:v>5640928.8553600004</c:v>
                </c:pt>
                <c:pt idx="1">
                  <c:v>5726856.6157</c:v>
                </c:pt>
                <c:pt idx="2">
                  <c:v>5870658.413540001</c:v>
                </c:pt>
                <c:pt idx="3">
                  <c:v>6324876.1716799997</c:v>
                </c:pt>
                <c:pt idx="4">
                  <c:v>6479920.0236</c:v>
                </c:pt>
                <c:pt idx="5">
                  <c:v>6947011.5188399991</c:v>
                </c:pt>
                <c:pt idx="6">
                  <c:v>4986922.7311199997</c:v>
                </c:pt>
                <c:pt idx="7">
                  <c:v>5337196.0046000006</c:v>
                </c:pt>
                <c:pt idx="8">
                  <c:v>5816997.7248800006</c:v>
                </c:pt>
                <c:pt idx="9">
                  <c:v>4576724.3739799997</c:v>
                </c:pt>
                <c:pt idx="10">
                  <c:v>4310941.5416200003</c:v>
                </c:pt>
                <c:pt idx="11">
                  <c:v>5649229.7246400006</c:v>
                </c:pt>
                <c:pt idx="12">
                  <c:v>5752803.102</c:v>
                </c:pt>
                <c:pt idx="13">
                  <c:v>5767472.2287599994</c:v>
                </c:pt>
                <c:pt idx="14">
                  <c:v>5473594.7252799999</c:v>
                </c:pt>
                <c:pt idx="15">
                  <c:v>5298991.7349999994</c:v>
                </c:pt>
                <c:pt idx="16">
                  <c:v>4060756.2636800003</c:v>
                </c:pt>
                <c:pt idx="17">
                  <c:v>3930548.8623999991</c:v>
                </c:pt>
                <c:pt idx="18">
                  <c:v>4720571.4441000009</c:v>
                </c:pt>
                <c:pt idx="19">
                  <c:v>5792960.7385999998</c:v>
                </c:pt>
                <c:pt idx="20">
                  <c:v>5288547.1129999999</c:v>
                </c:pt>
                <c:pt idx="21">
                  <c:v>4350378.1295999996</c:v>
                </c:pt>
                <c:pt idx="22">
                  <c:v>4205455.8103999998</c:v>
                </c:pt>
                <c:pt idx="23">
                  <c:v>4666743.4814999998</c:v>
                </c:pt>
                <c:pt idx="24">
                  <c:v>5986418.2281999998</c:v>
                </c:pt>
                <c:pt idx="25">
                  <c:v>6228643.7355999993</c:v>
                </c:pt>
                <c:pt idx="26">
                  <c:v>5113039.1959999995</c:v>
                </c:pt>
                <c:pt idx="27">
                  <c:v>5070795.6617999999</c:v>
                </c:pt>
                <c:pt idx="28">
                  <c:v>4234884.3057999993</c:v>
                </c:pt>
                <c:pt idx="29">
                  <c:v>3882033.5824000002</c:v>
                </c:pt>
                <c:pt idx="30">
                  <c:v>4380699.4228999997</c:v>
                </c:pt>
                <c:pt idx="31">
                  <c:v>3780901.4922000002</c:v>
                </c:pt>
                <c:pt idx="32">
                  <c:v>5253467.5819999995</c:v>
                </c:pt>
                <c:pt idx="33">
                  <c:v>3762845.0086999997</c:v>
                </c:pt>
                <c:pt idx="34">
                  <c:v>3776087.9072999996</c:v>
                </c:pt>
                <c:pt idx="35">
                  <c:v>3766879.0844999999</c:v>
                </c:pt>
                <c:pt idx="36">
                  <c:v>4803309.3464000002</c:v>
                </c:pt>
                <c:pt idx="37">
                  <c:v>5113487.8109999998</c:v>
                </c:pt>
                <c:pt idx="38">
                  <c:v>4395653.0039999997</c:v>
                </c:pt>
                <c:pt idx="39">
                  <c:v>3594249.8704999997</c:v>
                </c:pt>
                <c:pt idx="40">
                  <c:v>3357369.0432999996</c:v>
                </c:pt>
                <c:pt idx="41">
                  <c:v>3596503.5392999998</c:v>
                </c:pt>
                <c:pt idx="42">
                  <c:v>4308053.8447000002</c:v>
                </c:pt>
                <c:pt idx="43">
                  <c:v>5600560.3589000003</c:v>
                </c:pt>
                <c:pt idx="44">
                  <c:v>5345059.1985999998</c:v>
                </c:pt>
                <c:pt idx="45">
                  <c:v>4097940.9556999994</c:v>
                </c:pt>
                <c:pt idx="46">
                  <c:v>3907777.7055000002</c:v>
                </c:pt>
                <c:pt idx="47">
                  <c:v>3870056.1023999997</c:v>
                </c:pt>
                <c:pt idx="48">
                  <c:v>5500808.8137999997</c:v>
                </c:pt>
                <c:pt idx="49">
                  <c:v>5684569.301</c:v>
                </c:pt>
                <c:pt idx="50">
                  <c:v>4907120.8032</c:v>
                </c:pt>
                <c:pt idx="51">
                  <c:v>4732985.6480999999</c:v>
                </c:pt>
                <c:pt idx="52">
                  <c:v>4046248.0761999995</c:v>
                </c:pt>
                <c:pt idx="53">
                  <c:v>3885225.7753999992</c:v>
                </c:pt>
                <c:pt idx="54">
                  <c:v>4417346.6200999999</c:v>
                </c:pt>
                <c:pt idx="55">
                  <c:v>6295914.5817999998</c:v>
                </c:pt>
                <c:pt idx="56">
                  <c:v>5299992.0924000004</c:v>
                </c:pt>
                <c:pt idx="57">
                  <c:v>4140209.2447999995</c:v>
                </c:pt>
                <c:pt idx="58">
                  <c:v>3941621.7615999999</c:v>
                </c:pt>
                <c:pt idx="59">
                  <c:v>4160346.3289999999</c:v>
                </c:pt>
                <c:pt idx="60">
                  <c:v>5033525.5924000004</c:v>
                </c:pt>
                <c:pt idx="61">
                  <c:v>5163650.5350000001</c:v>
                </c:pt>
                <c:pt idx="62">
                  <c:v>4524363.9985999996</c:v>
                </c:pt>
                <c:pt idx="63">
                  <c:v>4020800.6875999994</c:v>
                </c:pt>
                <c:pt idx="64">
                  <c:v>3715365.5429000002</c:v>
                </c:pt>
                <c:pt idx="65">
                  <c:v>3836936.6406</c:v>
                </c:pt>
                <c:pt idx="66">
                  <c:v>4801683.09</c:v>
                </c:pt>
                <c:pt idx="67">
                  <c:v>6167729.818</c:v>
                </c:pt>
                <c:pt idx="68">
                  <c:v>5144563.318</c:v>
                </c:pt>
                <c:pt idx="69">
                  <c:v>4109515.5469999998</c:v>
                </c:pt>
                <c:pt idx="70">
                  <c:v>3700252.9467000002</c:v>
                </c:pt>
                <c:pt idx="71">
                  <c:v>3952350.1461</c:v>
                </c:pt>
                <c:pt idx="72">
                  <c:v>4815275.5839999998</c:v>
                </c:pt>
                <c:pt idx="73">
                  <c:v>5121922.8539999994</c:v>
                </c:pt>
                <c:pt idx="74">
                  <c:v>4664194.591599999</c:v>
                </c:pt>
                <c:pt idx="75">
                  <c:v>4705233.0269999998</c:v>
                </c:pt>
                <c:pt idx="76">
                  <c:v>3915508.8012999999</c:v>
                </c:pt>
                <c:pt idx="77">
                  <c:v>3645317.7157999999</c:v>
                </c:pt>
                <c:pt idx="78">
                  <c:v>4244297.978099999</c:v>
                </c:pt>
                <c:pt idx="79">
                  <c:v>5299604.6619999995</c:v>
                </c:pt>
                <c:pt idx="80">
                  <c:v>4825504.0060000001</c:v>
                </c:pt>
                <c:pt idx="81">
                  <c:v>3980625.1063999999</c:v>
                </c:pt>
                <c:pt idx="82">
                  <c:v>3873271.5369000002</c:v>
                </c:pt>
                <c:pt idx="83">
                  <c:v>4755196.7389000002</c:v>
                </c:pt>
                <c:pt idx="84">
                  <c:v>5851666.1732000001</c:v>
                </c:pt>
                <c:pt idx="85">
                  <c:v>6455879.2321999995</c:v>
                </c:pt>
                <c:pt idx="86">
                  <c:v>5377054.6365999999</c:v>
                </c:pt>
                <c:pt idx="87">
                  <c:v>5351869.0661999993</c:v>
                </c:pt>
                <c:pt idx="88">
                  <c:v>4532702.1191399992</c:v>
                </c:pt>
                <c:pt idx="89">
                  <c:v>4769608.2417399995</c:v>
                </c:pt>
                <c:pt idx="90">
                  <c:v>5499725.0896799993</c:v>
                </c:pt>
                <c:pt idx="91">
                  <c:v>5776255.4186199997</c:v>
                </c:pt>
                <c:pt idx="92">
                  <c:v>5942311.7742699999</c:v>
                </c:pt>
                <c:pt idx="93">
                  <c:v>4937879.0150799993</c:v>
                </c:pt>
                <c:pt idx="94">
                  <c:v>4763007.1476699999</c:v>
                </c:pt>
                <c:pt idx="95">
                  <c:v>5830346.3885199996</c:v>
                </c:pt>
                <c:pt idx="96">
                  <c:v>6302302.4270000001</c:v>
                </c:pt>
                <c:pt idx="97">
                  <c:v>7035744.3120299997</c:v>
                </c:pt>
                <c:pt idx="98">
                  <c:v>6572816.4936800003</c:v>
                </c:pt>
                <c:pt idx="99">
                  <c:v>5776693.9478900004</c:v>
                </c:pt>
                <c:pt idx="100">
                  <c:v>4635765.9455300011</c:v>
                </c:pt>
                <c:pt idx="101">
                  <c:v>4475709.7344300002</c:v>
                </c:pt>
                <c:pt idx="102">
                  <c:v>5049557.6763899997</c:v>
                </c:pt>
                <c:pt idx="103">
                  <c:v>6174414.08421</c:v>
                </c:pt>
                <c:pt idx="104">
                  <c:v>6162164.3651700001</c:v>
                </c:pt>
                <c:pt idx="105">
                  <c:v>5558407.3692600001</c:v>
                </c:pt>
                <c:pt idx="106">
                  <c:v>4750486.3030199995</c:v>
                </c:pt>
                <c:pt idx="107">
                  <c:v>4791973.1588400006</c:v>
                </c:pt>
                <c:pt idx="108">
                  <c:v>5334292.6764200004</c:v>
                </c:pt>
                <c:pt idx="109">
                  <c:v>5987933.8334400002</c:v>
                </c:pt>
                <c:pt idx="110">
                  <c:v>5265686.2439099997</c:v>
                </c:pt>
                <c:pt idx="111">
                  <c:v>5097503.1288600005</c:v>
                </c:pt>
                <c:pt idx="112">
                  <c:v>4682979.8852999993</c:v>
                </c:pt>
                <c:pt idx="113">
                  <c:v>4512661.5249999994</c:v>
                </c:pt>
                <c:pt idx="114">
                  <c:v>5292771.1205000002</c:v>
                </c:pt>
                <c:pt idx="115">
                  <c:v>6479248.5064000003</c:v>
                </c:pt>
                <c:pt idx="116">
                  <c:v>6282145.3443000009</c:v>
                </c:pt>
                <c:pt idx="117">
                  <c:v>4626531.6867999993</c:v>
                </c:pt>
                <c:pt idx="118">
                  <c:v>4446124.8939999994</c:v>
                </c:pt>
                <c:pt idx="119">
                  <c:v>4857424.7469000006</c:v>
                </c:pt>
                <c:pt idx="120">
                  <c:v>6043116.9052099995</c:v>
                </c:pt>
                <c:pt idx="121">
                  <c:v>5773386.9743099995</c:v>
                </c:pt>
                <c:pt idx="122">
                  <c:v>4532106.3259899998</c:v>
                </c:pt>
                <c:pt idx="123">
                  <c:v>4999470.1251299996</c:v>
                </c:pt>
                <c:pt idx="124">
                  <c:v>4088277.3129600002</c:v>
                </c:pt>
                <c:pt idx="125">
                  <c:v>4284257.51064</c:v>
                </c:pt>
                <c:pt idx="126">
                  <c:v>5215450.4659299999</c:v>
                </c:pt>
                <c:pt idx="127">
                  <c:v>6434256.0108200004</c:v>
                </c:pt>
                <c:pt idx="128">
                  <c:v>5548386.131719999</c:v>
                </c:pt>
                <c:pt idx="129">
                  <c:v>4645663.9166400004</c:v>
                </c:pt>
                <c:pt idx="130">
                  <c:v>4342402.4035</c:v>
                </c:pt>
                <c:pt idx="131">
                  <c:v>4764981.3563499991</c:v>
                </c:pt>
                <c:pt idx="132">
                  <c:v>6151832.5779499998</c:v>
                </c:pt>
                <c:pt idx="133">
                  <c:v>6440644.0073600002</c:v>
                </c:pt>
                <c:pt idx="134">
                  <c:v>5212612.5706799999</c:v>
                </c:pt>
                <c:pt idx="135">
                  <c:v>5278300.1626599999</c:v>
                </c:pt>
                <c:pt idx="136">
                  <c:v>4734709.4106999999</c:v>
                </c:pt>
                <c:pt idx="137">
                  <c:v>4591129.8232199997</c:v>
                </c:pt>
                <c:pt idx="138">
                  <c:v>5430424.4713999992</c:v>
                </c:pt>
                <c:pt idx="139">
                  <c:v>6859623.5653199991</c:v>
                </c:pt>
                <c:pt idx="140">
                  <c:v>6876333.0363399992</c:v>
                </c:pt>
                <c:pt idx="141">
                  <c:v>5435062.2424600003</c:v>
                </c:pt>
                <c:pt idx="142">
                  <c:v>4664771.2834799998</c:v>
                </c:pt>
                <c:pt idx="143">
                  <c:v>5355771.8004999999</c:v>
                </c:pt>
                <c:pt idx="144">
                  <c:v>5895781.54538</c:v>
                </c:pt>
                <c:pt idx="145">
                  <c:v>6344426.8998599993</c:v>
                </c:pt>
                <c:pt idx="146">
                  <c:v>5629704.5296799997</c:v>
                </c:pt>
                <c:pt idx="147">
                  <c:v>5550926.9573600003</c:v>
                </c:pt>
                <c:pt idx="148">
                  <c:v>4483993.9671200002</c:v>
                </c:pt>
                <c:pt idx="149">
                  <c:v>4311188.5068800002</c:v>
                </c:pt>
                <c:pt idx="150">
                  <c:v>4945910.2180999992</c:v>
                </c:pt>
                <c:pt idx="151">
                  <c:v>7444291.86326</c:v>
                </c:pt>
                <c:pt idx="152">
                  <c:v>6404989.5357000008</c:v>
                </c:pt>
                <c:pt idx="153">
                  <c:v>5117054.9380399995</c:v>
                </c:pt>
                <c:pt idx="154">
                  <c:v>4459105.9743999988</c:v>
                </c:pt>
                <c:pt idx="155">
                  <c:v>5345813.8230799995</c:v>
                </c:pt>
                <c:pt idx="156">
                  <c:v>5957914.3985799998</c:v>
                </c:pt>
                <c:pt idx="157">
                  <c:v>5929405.9422800001</c:v>
                </c:pt>
                <c:pt idx="158">
                  <c:v>5454114.7809799993</c:v>
                </c:pt>
                <c:pt idx="159">
                  <c:v>5165860.59626</c:v>
                </c:pt>
                <c:pt idx="160">
                  <c:v>4799083.8038800005</c:v>
                </c:pt>
                <c:pt idx="161">
                  <c:v>4820394.2487199996</c:v>
                </c:pt>
                <c:pt idx="162">
                  <c:v>5894883.4938199995</c:v>
                </c:pt>
                <c:pt idx="163">
                  <c:v>7735321.2992799999</c:v>
                </c:pt>
                <c:pt idx="164">
                  <c:v>6564005.04648</c:v>
                </c:pt>
                <c:pt idx="165">
                  <c:v>4055885.1912000002</c:v>
                </c:pt>
                <c:pt idx="166">
                  <c:v>3115295.0272399997</c:v>
                </c:pt>
                <c:pt idx="167">
                  <c:v>3241021.68352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4-44B7-B85A-C949FBC6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Weather!$R$122:$R$241</c:f>
              <c:numCache>
                <c:formatCode>_(* #,##0_);_(* \(#,##0\);_(* "-"??_);_(@_)</c:formatCode>
                <c:ptCount val="120"/>
                <c:pt idx="0">
                  <c:v>23397084.615384616</c:v>
                </c:pt>
                <c:pt idx="1">
                  <c:v>20570361.53846154</c:v>
                </c:pt>
                <c:pt idx="2">
                  <c:v>21011815.384615388</c:v>
                </c:pt>
                <c:pt idx="3">
                  <c:v>18252353.846153848</c:v>
                </c:pt>
                <c:pt idx="4">
                  <c:v>18454400</c:v>
                </c:pt>
                <c:pt idx="5">
                  <c:v>21528092.307692308</c:v>
                </c:pt>
                <c:pt idx="6">
                  <c:v>28389523.076923076</c:v>
                </c:pt>
                <c:pt idx="7">
                  <c:v>24810530.769230768</c:v>
                </c:pt>
                <c:pt idx="8">
                  <c:v>19628307.692307692</c:v>
                </c:pt>
                <c:pt idx="9">
                  <c:v>18511823.076923076</c:v>
                </c:pt>
                <c:pt idx="10">
                  <c:v>18941946.153846152</c:v>
                </c:pt>
                <c:pt idx="11">
                  <c:v>21539476.923076924</c:v>
                </c:pt>
                <c:pt idx="12">
                  <c:v>22039669.230769232</c:v>
                </c:pt>
                <c:pt idx="13">
                  <c:v>19611361.53846154</c:v>
                </c:pt>
                <c:pt idx="14">
                  <c:v>18499069.230769232</c:v>
                </c:pt>
                <c:pt idx="15">
                  <c:v>19946663.636363637</c:v>
                </c:pt>
                <c:pt idx="16">
                  <c:v>18352863.636363637</c:v>
                </c:pt>
                <c:pt idx="17">
                  <c:v>22640936.36363636</c:v>
                </c:pt>
                <c:pt idx="18">
                  <c:v>27569299.999999996</c:v>
                </c:pt>
                <c:pt idx="19">
                  <c:v>23505663.636363633</c:v>
                </c:pt>
                <c:pt idx="20">
                  <c:v>18912418.18181818</c:v>
                </c:pt>
                <c:pt idx="21">
                  <c:v>17381318.18181818</c:v>
                </c:pt>
                <c:pt idx="22">
                  <c:v>18308972.727272727</c:v>
                </c:pt>
                <c:pt idx="23">
                  <c:v>20133590.90909091</c:v>
                </c:pt>
                <c:pt idx="24">
                  <c:v>23386699.999999996</c:v>
                </c:pt>
                <c:pt idx="25">
                  <c:v>21170572.727272727</c:v>
                </c:pt>
                <c:pt idx="26">
                  <c:v>21583554.545454543</c:v>
                </c:pt>
                <c:pt idx="27">
                  <c:v>19125345.454545453</c:v>
                </c:pt>
                <c:pt idx="28">
                  <c:v>17617625.000000004</c:v>
                </c:pt>
                <c:pt idx="29">
                  <c:v>19936866.666666668</c:v>
                </c:pt>
                <c:pt idx="30">
                  <c:v>23686275</c:v>
                </c:pt>
                <c:pt idx="31">
                  <c:v>22403900.000000004</c:v>
                </c:pt>
                <c:pt idx="32">
                  <c:v>18880325</c:v>
                </c:pt>
                <c:pt idx="33">
                  <c:v>18114283.333333336</c:v>
                </c:pt>
                <c:pt idx="34">
                  <c:v>19414258.333333336</c:v>
                </c:pt>
                <c:pt idx="35">
                  <c:v>22361725</c:v>
                </c:pt>
                <c:pt idx="36">
                  <c:v>24264791.666666668</c:v>
                </c:pt>
                <c:pt idx="37">
                  <c:v>20828400.000000004</c:v>
                </c:pt>
                <c:pt idx="38">
                  <c:v>21052908.333333336</c:v>
                </c:pt>
                <c:pt idx="39">
                  <c:v>17638016.666666668</c:v>
                </c:pt>
                <c:pt idx="40">
                  <c:v>18077492.307692308</c:v>
                </c:pt>
                <c:pt idx="41">
                  <c:v>21714569.230769232</c:v>
                </c:pt>
                <c:pt idx="42">
                  <c:v>22619392.307692308</c:v>
                </c:pt>
                <c:pt idx="43">
                  <c:v>23222976.923076924</c:v>
                </c:pt>
                <c:pt idx="44">
                  <c:v>19789369.230769232</c:v>
                </c:pt>
                <c:pt idx="45">
                  <c:v>18224553.846153844</c:v>
                </c:pt>
                <c:pt idx="46">
                  <c:v>20282892.307692308</c:v>
                </c:pt>
                <c:pt idx="47">
                  <c:v>22057292.307692308</c:v>
                </c:pt>
                <c:pt idx="48">
                  <c:v>24198407.692307692</c:v>
                </c:pt>
                <c:pt idx="49">
                  <c:v>22363023.07692308</c:v>
                </c:pt>
                <c:pt idx="50">
                  <c:v>20856446.153846156</c:v>
                </c:pt>
                <c:pt idx="51">
                  <c:v>17544146.153846156</c:v>
                </c:pt>
                <c:pt idx="52">
                  <c:v>17949553.846153844</c:v>
                </c:pt>
                <c:pt idx="53">
                  <c:v>20138192.307692308</c:v>
                </c:pt>
                <c:pt idx="54">
                  <c:v>23747715.384615384</c:v>
                </c:pt>
                <c:pt idx="55">
                  <c:v>23252784.615384616</c:v>
                </c:pt>
                <c:pt idx="56">
                  <c:v>21319146.153846156</c:v>
                </c:pt>
                <c:pt idx="57">
                  <c:v>17917492.307692308</c:v>
                </c:pt>
                <c:pt idx="58">
                  <c:v>18378200</c:v>
                </c:pt>
                <c:pt idx="59">
                  <c:v>20053746.153846152</c:v>
                </c:pt>
                <c:pt idx="60">
                  <c:v>22182546.149999999</c:v>
                </c:pt>
                <c:pt idx="61">
                  <c:v>19893038.460000001</c:v>
                </c:pt>
                <c:pt idx="62">
                  <c:v>19158792.309999999</c:v>
                </c:pt>
                <c:pt idx="63">
                  <c:v>17454523.079999998</c:v>
                </c:pt>
                <c:pt idx="64">
                  <c:v>17779684.620000001</c:v>
                </c:pt>
                <c:pt idx="65">
                  <c:v>21050084.620000001</c:v>
                </c:pt>
                <c:pt idx="66">
                  <c:v>25290492.309999999</c:v>
                </c:pt>
                <c:pt idx="67">
                  <c:v>26373046.149999999</c:v>
                </c:pt>
                <c:pt idx="68">
                  <c:v>19870438.460000001</c:v>
                </c:pt>
                <c:pt idx="69">
                  <c:v>16662107.689999999</c:v>
                </c:pt>
                <c:pt idx="70">
                  <c:v>17715484.620000001</c:v>
                </c:pt>
                <c:pt idx="71">
                  <c:v>21539892.309999999</c:v>
                </c:pt>
                <c:pt idx="72">
                  <c:v>21332376.190000001</c:v>
                </c:pt>
                <c:pt idx="73">
                  <c:v>17869619.050000001</c:v>
                </c:pt>
                <c:pt idx="74">
                  <c:v>19357285.710000001</c:v>
                </c:pt>
                <c:pt idx="75">
                  <c:v>15858266.67</c:v>
                </c:pt>
                <c:pt idx="76">
                  <c:v>16800623.809999999</c:v>
                </c:pt>
                <c:pt idx="77">
                  <c:v>20337761.899999999</c:v>
                </c:pt>
                <c:pt idx="78">
                  <c:v>24007900</c:v>
                </c:pt>
                <c:pt idx="79">
                  <c:v>22370466.670000002</c:v>
                </c:pt>
                <c:pt idx="80">
                  <c:v>19459266.670000002</c:v>
                </c:pt>
                <c:pt idx="81">
                  <c:v>17820433.329999998</c:v>
                </c:pt>
                <c:pt idx="82">
                  <c:v>18956833.329999998</c:v>
                </c:pt>
                <c:pt idx="83">
                  <c:v>21888466.670000002</c:v>
                </c:pt>
                <c:pt idx="84">
                  <c:v>22905166.670000002</c:v>
                </c:pt>
                <c:pt idx="85">
                  <c:v>19173200</c:v>
                </c:pt>
                <c:pt idx="86">
                  <c:v>19615300</c:v>
                </c:pt>
                <c:pt idx="87">
                  <c:v>17899266.670000002</c:v>
                </c:pt>
                <c:pt idx="88">
                  <c:v>18615766.670000002</c:v>
                </c:pt>
                <c:pt idx="89">
                  <c:v>21326300</c:v>
                </c:pt>
                <c:pt idx="90">
                  <c:v>25954933.329999998</c:v>
                </c:pt>
                <c:pt idx="91">
                  <c:v>26266700</c:v>
                </c:pt>
                <c:pt idx="92">
                  <c:v>21262033.329999998</c:v>
                </c:pt>
                <c:pt idx="93">
                  <c:v>18523233.329999998</c:v>
                </c:pt>
                <c:pt idx="94">
                  <c:v>19925200</c:v>
                </c:pt>
                <c:pt idx="95">
                  <c:v>21085833.329999998</c:v>
                </c:pt>
                <c:pt idx="96">
                  <c:v>22756420</c:v>
                </c:pt>
                <c:pt idx="97">
                  <c:v>20319680</c:v>
                </c:pt>
                <c:pt idx="98">
                  <c:v>20479900</c:v>
                </c:pt>
                <c:pt idx="99">
                  <c:v>17330880</c:v>
                </c:pt>
                <c:pt idx="100">
                  <c:v>17274480</c:v>
                </c:pt>
                <c:pt idx="101">
                  <c:v>19386900</c:v>
                </c:pt>
                <c:pt idx="102">
                  <c:v>27626160</c:v>
                </c:pt>
                <c:pt idx="103">
                  <c:v>24612440</c:v>
                </c:pt>
                <c:pt idx="104">
                  <c:v>20453280</c:v>
                </c:pt>
                <c:pt idx="105">
                  <c:v>17608300</c:v>
                </c:pt>
                <c:pt idx="106">
                  <c:v>19781220</c:v>
                </c:pt>
                <c:pt idx="107">
                  <c:v>21302160</c:v>
                </c:pt>
                <c:pt idx="108">
                  <c:v>21866419.999999996</c:v>
                </c:pt>
                <c:pt idx="109">
                  <c:v>20225660</c:v>
                </c:pt>
                <c:pt idx="110">
                  <c:v>19574300</c:v>
                </c:pt>
                <c:pt idx="111">
                  <c:v>16976080</c:v>
                </c:pt>
                <c:pt idx="112">
                  <c:v>17713720</c:v>
                </c:pt>
                <c:pt idx="113">
                  <c:v>22065520</c:v>
                </c:pt>
                <c:pt idx="114">
                  <c:v>28192460</c:v>
                </c:pt>
                <c:pt idx="115">
                  <c:v>24252200</c:v>
                </c:pt>
                <c:pt idx="116">
                  <c:v>18691553.740000002</c:v>
                </c:pt>
                <c:pt idx="117">
                  <c:v>17010864.789999999</c:v>
                </c:pt>
                <c:pt idx="118">
                  <c:v>18253434</c:v>
                </c:pt>
                <c:pt idx="119">
                  <c:v>20812463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78-4AFE-A10E-9FCE6D47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21268156.650984365</c:v>
                </c:pt>
                <c:pt idx="39">
                  <c:v>17858958.884850029</c:v>
                </c:pt>
                <c:pt idx="40">
                  <c:v>18304128.426408004</c:v>
                </c:pt>
                <c:pt idx="41">
                  <c:v>21946899.250017259</c:v>
                </c:pt>
                <c:pt idx="42">
                  <c:v>22857416.227472667</c:v>
                </c:pt>
                <c:pt idx="43">
                  <c:v>23466694.743389614</c:v>
                </c:pt>
                <c:pt idx="44">
                  <c:v>20038780.951614253</c:v>
                </c:pt>
                <c:pt idx="45">
                  <c:v>18479659.4675312</c:v>
                </c:pt>
                <c:pt idx="46">
                  <c:v>20543691.829601996</c:v>
                </c:pt>
                <c:pt idx="47">
                  <c:v>22323785.730134327</c:v>
                </c:pt>
                <c:pt idx="48">
                  <c:v>24490725.048694611</c:v>
                </c:pt>
                <c:pt idx="49">
                  <c:v>22668464.391569141</c:v>
                </c:pt>
                <c:pt idx="50">
                  <c:v>21175011.42675136</c:v>
                </c:pt>
                <c:pt idx="51">
                  <c:v>17875835.385010503</c:v>
                </c:pt>
                <c:pt idx="52">
                  <c:v>18294367.035577338</c:v>
                </c:pt>
                <c:pt idx="53">
                  <c:v>20496129.455374945</c:v>
                </c:pt>
                <c:pt idx="54">
                  <c:v>24118776.490557164</c:v>
                </c:pt>
                <c:pt idx="55">
                  <c:v>23636969.679585539</c:v>
                </c:pt>
                <c:pt idx="56">
                  <c:v>21716455.176306222</c:v>
                </c:pt>
                <c:pt idx="57">
                  <c:v>18327925.288411517</c:v>
                </c:pt>
                <c:pt idx="58">
                  <c:v>18801756.938978352</c:v>
                </c:pt>
                <c:pt idx="59">
                  <c:v>20490427.051083647</c:v>
                </c:pt>
                <c:pt idx="60">
                  <c:v>22653592.291770127</c:v>
                </c:pt>
                <c:pt idx="61">
                  <c:v>20376621.408394717</c:v>
                </c:pt>
                <c:pt idx="62">
                  <c:v>19654912.065019302</c:v>
                </c:pt>
                <c:pt idx="63">
                  <c:v>17963179.641643889</c:v>
                </c:pt>
                <c:pt idx="64">
                  <c:v>18300877.98826848</c:v>
                </c:pt>
                <c:pt idx="65">
                  <c:v>21583814.794893071</c:v>
                </c:pt>
                <c:pt idx="66">
                  <c:v>25836759.291517656</c:v>
                </c:pt>
                <c:pt idx="67">
                  <c:v>26931849.938142244</c:v>
                </c:pt>
                <c:pt idx="68">
                  <c:v>20441779.054766834</c:v>
                </c:pt>
                <c:pt idx="69">
                  <c:v>17245985.091391418</c:v>
                </c:pt>
                <c:pt idx="70">
                  <c:v>18311898.828016009</c:v>
                </c:pt>
                <c:pt idx="71">
                  <c:v>22148843.324640594</c:v>
                </c:pt>
                <c:pt idx="72">
                  <c:v>21977343.197596632</c:v>
                </c:pt>
                <c:pt idx="73">
                  <c:v>18527994.060588073</c:v>
                </c:pt>
                <c:pt idx="74">
                  <c:v>20029068.723579515</c:v>
                </c:pt>
                <c:pt idx="75">
                  <c:v>16543457.686570955</c:v>
                </c:pt>
                <c:pt idx="76">
                  <c:v>17499222.829562396</c:v>
                </c:pt>
                <c:pt idx="77">
                  <c:v>21049768.922553837</c:v>
                </c:pt>
                <c:pt idx="78">
                  <c:v>24733315.02554528</c:v>
                </c:pt>
                <c:pt idx="79">
                  <c:v>23109289.698536724</c:v>
                </c:pt>
                <c:pt idx="80">
                  <c:v>20211497.701528165</c:v>
                </c:pt>
                <c:pt idx="81">
                  <c:v>18586072.364519604</c:v>
                </c:pt>
                <c:pt idx="82">
                  <c:v>19735880.367511041</c:v>
                </c:pt>
                <c:pt idx="83">
                  <c:v>22680921.710502487</c:v>
                </c:pt>
                <c:pt idx="84">
                  <c:v>23743222.716993935</c:v>
                </c:pt>
                <c:pt idx="85">
                  <c:v>20012112.80951703</c:v>
                </c:pt>
                <c:pt idx="86">
                  <c:v>20455069.572040129</c:v>
                </c:pt>
                <c:pt idx="87">
                  <c:v>18739893.004563231</c:v>
                </c:pt>
                <c:pt idx="88">
                  <c:v>19457249.767086331</c:v>
                </c:pt>
                <c:pt idx="89">
                  <c:v>22168639.859609425</c:v>
                </c:pt>
                <c:pt idx="90">
                  <c:v>26798129.952132523</c:v>
                </c:pt>
                <c:pt idx="91">
                  <c:v>27110753.384655625</c:v>
                </c:pt>
                <c:pt idx="92">
                  <c:v>22106943.477178719</c:v>
                </c:pt>
                <c:pt idx="93">
                  <c:v>19369000.239701819</c:v>
                </c:pt>
                <c:pt idx="94">
                  <c:v>20771823.67222492</c:v>
                </c:pt>
                <c:pt idx="95">
                  <c:v>21933313.764748015</c:v>
                </c:pt>
                <c:pt idx="96">
                  <c:v>23653212.234410089</c:v>
                </c:pt>
                <c:pt idx="97">
                  <c:v>21218276.212864008</c:v>
                </c:pt>
                <c:pt idx="98">
                  <c:v>21380300.191317927</c:v>
                </c:pt>
                <c:pt idx="99">
                  <c:v>18233084.169771846</c:v>
                </c:pt>
                <c:pt idx="100">
                  <c:v>18178488.148225766</c:v>
                </c:pt>
                <c:pt idx="101">
                  <c:v>20292712.126679685</c:v>
                </c:pt>
                <c:pt idx="102">
                  <c:v>28533776.105133604</c:v>
                </c:pt>
                <c:pt idx="103">
                  <c:v>25521860.08358752</c:v>
                </c:pt>
                <c:pt idx="104">
                  <c:v>21364504.062041439</c:v>
                </c:pt>
                <c:pt idx="105">
                  <c:v>18521328.040495358</c:v>
                </c:pt>
                <c:pt idx="106">
                  <c:v>20696052.018949278</c:v>
                </c:pt>
                <c:pt idx="107">
                  <c:v>22218795.997403197</c:v>
                </c:pt>
                <c:pt idx="108">
                  <c:v>22784321.905369502</c:v>
                </c:pt>
                <c:pt idx="109">
                  <c:v>21142049.013006397</c:v>
                </c:pt>
                <c:pt idx="110">
                  <c:v>20489176.120643292</c:v>
                </c:pt>
                <c:pt idx="111">
                  <c:v>17889443.228280183</c:v>
                </c:pt>
                <c:pt idx="112">
                  <c:v>18625570.335917074</c:v>
                </c:pt>
                <c:pt idx="113">
                  <c:v>22975857.443553966</c:v>
                </c:pt>
                <c:pt idx="114">
                  <c:v>29101284.551190861</c:v>
                </c:pt>
                <c:pt idx="115">
                  <c:v>25159511.658827752</c:v>
                </c:pt>
                <c:pt idx="116">
                  <c:v>19597352.506464645</c:v>
                </c:pt>
                <c:pt idx="117">
                  <c:v>17915150.664101534</c:v>
                </c:pt>
                <c:pt idx="118">
                  <c:v>19156206.98173843</c:v>
                </c:pt>
                <c:pt idx="119">
                  <c:v>21713723.089375321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F3-4AB8-978E-39BE8384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Purchases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21268156.650984365</c:v>
                </c:pt>
                <c:pt idx="39">
                  <c:v>17858958.884850029</c:v>
                </c:pt>
                <c:pt idx="40">
                  <c:v>18304128.426408004</c:v>
                </c:pt>
                <c:pt idx="41">
                  <c:v>21946899.250017259</c:v>
                </c:pt>
                <c:pt idx="42">
                  <c:v>22857416.227472667</c:v>
                </c:pt>
                <c:pt idx="43">
                  <c:v>23466694.743389614</c:v>
                </c:pt>
                <c:pt idx="44">
                  <c:v>20038780.951614253</c:v>
                </c:pt>
                <c:pt idx="45">
                  <c:v>18479659.4675312</c:v>
                </c:pt>
                <c:pt idx="46">
                  <c:v>20543691.829601996</c:v>
                </c:pt>
                <c:pt idx="47">
                  <c:v>22323785.730134327</c:v>
                </c:pt>
                <c:pt idx="48">
                  <c:v>24490725.048694611</c:v>
                </c:pt>
                <c:pt idx="49">
                  <c:v>22668464.391569141</c:v>
                </c:pt>
                <c:pt idx="50">
                  <c:v>21175011.42675136</c:v>
                </c:pt>
                <c:pt idx="51">
                  <c:v>17875835.385010503</c:v>
                </c:pt>
                <c:pt idx="52">
                  <c:v>18294367.035577338</c:v>
                </c:pt>
                <c:pt idx="53">
                  <c:v>20496129.455374945</c:v>
                </c:pt>
                <c:pt idx="54">
                  <c:v>24118776.490557164</c:v>
                </c:pt>
                <c:pt idx="55">
                  <c:v>23636969.679585539</c:v>
                </c:pt>
                <c:pt idx="56">
                  <c:v>21716455.176306222</c:v>
                </c:pt>
                <c:pt idx="57">
                  <c:v>18327925.288411517</c:v>
                </c:pt>
                <c:pt idx="58">
                  <c:v>18801756.938978352</c:v>
                </c:pt>
                <c:pt idx="59">
                  <c:v>20490427.051083647</c:v>
                </c:pt>
                <c:pt idx="60">
                  <c:v>22653592.291770127</c:v>
                </c:pt>
                <c:pt idx="61">
                  <c:v>20376621.408394717</c:v>
                </c:pt>
                <c:pt idx="62">
                  <c:v>19654912.065019302</c:v>
                </c:pt>
                <c:pt idx="63">
                  <c:v>17963179.641643889</c:v>
                </c:pt>
                <c:pt idx="64">
                  <c:v>18300877.98826848</c:v>
                </c:pt>
                <c:pt idx="65">
                  <c:v>21583814.794893071</c:v>
                </c:pt>
                <c:pt idx="66">
                  <c:v>25836759.291517656</c:v>
                </c:pt>
                <c:pt idx="67">
                  <c:v>26931849.938142244</c:v>
                </c:pt>
                <c:pt idx="68">
                  <c:v>20441779.054766834</c:v>
                </c:pt>
                <c:pt idx="69">
                  <c:v>17245985.091391418</c:v>
                </c:pt>
                <c:pt idx="70">
                  <c:v>18311898.828016009</c:v>
                </c:pt>
                <c:pt idx="71">
                  <c:v>22148843.324640594</c:v>
                </c:pt>
                <c:pt idx="72">
                  <c:v>21977343.197596632</c:v>
                </c:pt>
                <c:pt idx="73">
                  <c:v>18527994.060588073</c:v>
                </c:pt>
                <c:pt idx="74">
                  <c:v>20029068.723579515</c:v>
                </c:pt>
                <c:pt idx="75">
                  <c:v>16543457.686570955</c:v>
                </c:pt>
                <c:pt idx="76">
                  <c:v>17499222.829562396</c:v>
                </c:pt>
                <c:pt idx="77">
                  <c:v>21049768.922553837</c:v>
                </c:pt>
                <c:pt idx="78">
                  <c:v>24733315.02554528</c:v>
                </c:pt>
                <c:pt idx="79">
                  <c:v>23109289.698536724</c:v>
                </c:pt>
                <c:pt idx="80">
                  <c:v>20211497.701528165</c:v>
                </c:pt>
                <c:pt idx="81">
                  <c:v>18586072.364519604</c:v>
                </c:pt>
                <c:pt idx="82">
                  <c:v>19735880.367511041</c:v>
                </c:pt>
                <c:pt idx="83">
                  <c:v>22680921.710502487</c:v>
                </c:pt>
                <c:pt idx="84">
                  <c:v>23743222.716993935</c:v>
                </c:pt>
                <c:pt idx="85">
                  <c:v>20012112.80951703</c:v>
                </c:pt>
                <c:pt idx="86">
                  <c:v>20455069.572040129</c:v>
                </c:pt>
                <c:pt idx="87">
                  <c:v>18739893.004563231</c:v>
                </c:pt>
                <c:pt idx="88">
                  <c:v>19457249.767086331</c:v>
                </c:pt>
                <c:pt idx="89">
                  <c:v>22168639.859609425</c:v>
                </c:pt>
                <c:pt idx="90">
                  <c:v>26798129.952132523</c:v>
                </c:pt>
                <c:pt idx="91">
                  <c:v>27110753.384655625</c:v>
                </c:pt>
                <c:pt idx="92">
                  <c:v>22106943.477178719</c:v>
                </c:pt>
                <c:pt idx="93">
                  <c:v>19369000.239701819</c:v>
                </c:pt>
                <c:pt idx="94">
                  <c:v>20771823.67222492</c:v>
                </c:pt>
                <c:pt idx="95">
                  <c:v>21933313.764748015</c:v>
                </c:pt>
                <c:pt idx="96">
                  <c:v>23653212.234410089</c:v>
                </c:pt>
                <c:pt idx="97">
                  <c:v>21218276.212864008</c:v>
                </c:pt>
                <c:pt idx="98">
                  <c:v>21380300.191317927</c:v>
                </c:pt>
                <c:pt idx="99">
                  <c:v>18233084.169771846</c:v>
                </c:pt>
                <c:pt idx="100">
                  <c:v>18178488.148225766</c:v>
                </c:pt>
                <c:pt idx="101">
                  <c:v>20292712.126679685</c:v>
                </c:pt>
                <c:pt idx="102">
                  <c:v>28533776.105133604</c:v>
                </c:pt>
                <c:pt idx="103">
                  <c:v>25521860.08358752</c:v>
                </c:pt>
                <c:pt idx="104">
                  <c:v>21364504.062041439</c:v>
                </c:pt>
                <c:pt idx="105">
                  <c:v>18521328.040495358</c:v>
                </c:pt>
                <c:pt idx="106">
                  <c:v>20696052.018949278</c:v>
                </c:pt>
                <c:pt idx="107">
                  <c:v>22218795.997403197</c:v>
                </c:pt>
                <c:pt idx="108">
                  <c:v>22784321.905369502</c:v>
                </c:pt>
                <c:pt idx="109">
                  <c:v>21142049.013006397</c:v>
                </c:pt>
                <c:pt idx="110">
                  <c:v>20489176.120643292</c:v>
                </c:pt>
                <c:pt idx="111">
                  <c:v>17889443.228280183</c:v>
                </c:pt>
                <c:pt idx="112">
                  <c:v>18625570.335917074</c:v>
                </c:pt>
                <c:pt idx="113">
                  <c:v>22975857.443553966</c:v>
                </c:pt>
                <c:pt idx="114">
                  <c:v>29101284.551190861</c:v>
                </c:pt>
                <c:pt idx="115">
                  <c:v>25159511.658827752</c:v>
                </c:pt>
                <c:pt idx="116">
                  <c:v>19597352.506464645</c:v>
                </c:pt>
                <c:pt idx="117">
                  <c:v>17915150.664101534</c:v>
                </c:pt>
                <c:pt idx="118">
                  <c:v>19156206.98173843</c:v>
                </c:pt>
                <c:pt idx="119">
                  <c:v>21713723.089375321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72-40B1-8A63-8F151E274BA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Weather!$V$122:$V$241</c:f>
              <c:numCache>
                <c:formatCode>_(* #,##0_);_(* \(#,##0\);_(* "-"??_);_(@_)</c:formatCode>
                <c:ptCount val="120"/>
                <c:pt idx="0">
                  <c:v>23356803.492257107</c:v>
                </c:pt>
                <c:pt idx="1">
                  <c:v>22057779.207632087</c:v>
                </c:pt>
                <c:pt idx="2">
                  <c:v>20874171.405231234</c:v>
                </c:pt>
                <c:pt idx="3">
                  <c:v>18330651.252417225</c:v>
                </c:pt>
                <c:pt idx="4">
                  <c:v>18765465.706928089</c:v>
                </c:pt>
                <c:pt idx="5">
                  <c:v>22642282.82334327</c:v>
                </c:pt>
                <c:pt idx="6">
                  <c:v>29455861.021704257</c:v>
                </c:pt>
                <c:pt idx="7">
                  <c:v>24959210.330435243</c:v>
                </c:pt>
                <c:pt idx="8">
                  <c:v>19329475.668319572</c:v>
                </c:pt>
                <c:pt idx="9">
                  <c:v>17844017.819858596</c:v>
                </c:pt>
                <c:pt idx="10">
                  <c:v>18471624.224238455</c:v>
                </c:pt>
                <c:pt idx="11">
                  <c:v>20585630.199670829</c:v>
                </c:pt>
                <c:pt idx="12">
                  <c:v>21659710.115879364</c:v>
                </c:pt>
                <c:pt idx="13">
                  <c:v>20768176.676658023</c:v>
                </c:pt>
                <c:pt idx="14">
                  <c:v>18739319.958519008</c:v>
                </c:pt>
                <c:pt idx="15">
                  <c:v>18041874.515143406</c:v>
                </c:pt>
                <c:pt idx="16">
                  <c:v>19731078.01875693</c:v>
                </c:pt>
                <c:pt idx="17">
                  <c:v>24041295.772796251</c:v>
                </c:pt>
                <c:pt idx="18">
                  <c:v>28330550.072408132</c:v>
                </c:pt>
                <c:pt idx="19">
                  <c:v>24352920.349589981</c:v>
                </c:pt>
                <c:pt idx="20">
                  <c:v>19483874.68558355</c:v>
                </c:pt>
                <c:pt idx="21">
                  <c:v>18048823.190856822</c:v>
                </c:pt>
                <c:pt idx="22">
                  <c:v>19568080.805368003</c:v>
                </c:pt>
                <c:pt idx="23">
                  <c:v>20590341.076496303</c:v>
                </c:pt>
                <c:pt idx="24">
                  <c:v>21974161.143979892</c:v>
                </c:pt>
                <c:pt idx="25">
                  <c:v>21777482.036516264</c:v>
                </c:pt>
                <c:pt idx="26">
                  <c:v>20922457.892692365</c:v>
                </c:pt>
                <c:pt idx="27">
                  <c:v>18567255.031880859</c:v>
                </c:pt>
                <c:pt idx="28">
                  <c:v>20014790.556368776</c:v>
                </c:pt>
                <c:pt idx="29">
                  <c:v>21681499.270421963</c:v>
                </c:pt>
                <c:pt idx="30">
                  <c:v>25041886.236914136</c:v>
                </c:pt>
                <c:pt idx="31">
                  <c:v>23443485.378322091</c:v>
                </c:pt>
                <c:pt idx="32">
                  <c:v>19368929.276892763</c:v>
                </c:pt>
                <c:pt idx="33">
                  <c:v>18339013.310435604</c:v>
                </c:pt>
                <c:pt idx="34">
                  <c:v>19986171.123629</c:v>
                </c:pt>
                <c:pt idx="35">
                  <c:v>22236792.527000178</c:v>
                </c:pt>
                <c:pt idx="36">
                  <c:v>24284846.226875886</c:v>
                </c:pt>
                <c:pt idx="37">
                  <c:v>23123615.089396045</c:v>
                </c:pt>
                <c:pt idx="38">
                  <c:v>22252102.876682974</c:v>
                </c:pt>
                <c:pt idx="39">
                  <c:v>18127376.903248757</c:v>
                </c:pt>
                <c:pt idx="40">
                  <c:v>18716472.583900515</c:v>
                </c:pt>
                <c:pt idx="41">
                  <c:v>22850974.715223312</c:v>
                </c:pt>
                <c:pt idx="42">
                  <c:v>22005843.226772342</c:v>
                </c:pt>
                <c:pt idx="43">
                  <c:v>22552422.830716178</c:v>
                </c:pt>
                <c:pt idx="44">
                  <c:v>18482577.565686114</c:v>
                </c:pt>
                <c:pt idx="45">
                  <c:v>17486226.591557197</c:v>
                </c:pt>
                <c:pt idx="46">
                  <c:v>20417216.353160061</c:v>
                </c:pt>
                <c:pt idx="47">
                  <c:v>21169778.926029857</c:v>
                </c:pt>
                <c:pt idx="48">
                  <c:v>23780782.406549953</c:v>
                </c:pt>
                <c:pt idx="49">
                  <c:v>24371997.448147196</c:v>
                </c:pt>
                <c:pt idx="50">
                  <c:v>21406500.486510027</c:v>
                </c:pt>
                <c:pt idx="51">
                  <c:v>18107708.98947043</c:v>
                </c:pt>
                <c:pt idx="52">
                  <c:v>19495769.598024458</c:v>
                </c:pt>
                <c:pt idx="53">
                  <c:v>20757696.116751127</c:v>
                </c:pt>
                <c:pt idx="54">
                  <c:v>23739799.595326468</c:v>
                </c:pt>
                <c:pt idx="55">
                  <c:v>22779251.594331678</c:v>
                </c:pt>
                <c:pt idx="56">
                  <c:v>20828712.602076322</c:v>
                </c:pt>
                <c:pt idx="57">
                  <c:v>17437469.060882352</c:v>
                </c:pt>
                <c:pt idx="58">
                  <c:v>18654288.482242182</c:v>
                </c:pt>
                <c:pt idx="59">
                  <c:v>19663476.061083894</c:v>
                </c:pt>
                <c:pt idx="60">
                  <c:v>22343964.974779759</c:v>
                </c:pt>
                <c:pt idx="61">
                  <c:v>21275773.654603068</c:v>
                </c:pt>
                <c:pt idx="62">
                  <c:v>19511550.28346229</c:v>
                </c:pt>
                <c:pt idx="63">
                  <c:v>18683613.681384876</c:v>
                </c:pt>
                <c:pt idx="64">
                  <c:v>18984874.812255774</c:v>
                </c:pt>
                <c:pt idx="65">
                  <c:v>22627325.78639042</c:v>
                </c:pt>
                <c:pt idx="66">
                  <c:v>26516273.235787842</c:v>
                </c:pt>
                <c:pt idx="67">
                  <c:v>26360107.634661034</c:v>
                </c:pt>
                <c:pt idx="68">
                  <c:v>20339605.71763771</c:v>
                </c:pt>
                <c:pt idx="69">
                  <c:v>18348081.78167627</c:v>
                </c:pt>
                <c:pt idx="70">
                  <c:v>18491527.679836746</c:v>
                </c:pt>
                <c:pt idx="71">
                  <c:v>22088399.906997684</c:v>
                </c:pt>
                <c:pt idx="72">
                  <c:v>21629089.416513771</c:v>
                </c:pt>
                <c:pt idx="73">
                  <c:v>20009725.507756382</c:v>
                </c:pt>
                <c:pt idx="74">
                  <c:v>20723423.346816003</c:v>
                </c:pt>
                <c:pt idx="75">
                  <c:v>17577853.19836678</c:v>
                </c:pt>
                <c:pt idx="76">
                  <c:v>18332535.971025929</c:v>
                </c:pt>
                <c:pt idx="77">
                  <c:v>22520271.089307714</c:v>
                </c:pt>
                <c:pt idx="78">
                  <c:v>24619320.492688656</c:v>
                </c:pt>
                <c:pt idx="79">
                  <c:v>21749924.785621006</c:v>
                </c:pt>
                <c:pt idx="80">
                  <c:v>19919042.048562255</c:v>
                </c:pt>
                <c:pt idx="81">
                  <c:v>17979926.733509589</c:v>
                </c:pt>
                <c:pt idx="82">
                  <c:v>19645810.272988357</c:v>
                </c:pt>
                <c:pt idx="83">
                  <c:v>22663126.879705764</c:v>
                </c:pt>
                <c:pt idx="84">
                  <c:v>23058840.533045746</c:v>
                </c:pt>
                <c:pt idx="85">
                  <c:v>21232198.043967411</c:v>
                </c:pt>
                <c:pt idx="86">
                  <c:v>21042585.251742005</c:v>
                </c:pt>
                <c:pt idx="87">
                  <c:v>19431465.377429198</c:v>
                </c:pt>
                <c:pt idx="88">
                  <c:v>19639804.734783847</c:v>
                </c:pt>
                <c:pt idx="89">
                  <c:v>22343024.303269692</c:v>
                </c:pt>
                <c:pt idx="90">
                  <c:v>25818121.136632696</c:v>
                </c:pt>
                <c:pt idx="91">
                  <c:v>25666548.641421378</c:v>
                </c:pt>
                <c:pt idx="92">
                  <c:v>21474691.692888524</c:v>
                </c:pt>
                <c:pt idx="93">
                  <c:v>19206756.874242365</c:v>
                </c:pt>
                <c:pt idx="94">
                  <c:v>20479635.471097618</c:v>
                </c:pt>
                <c:pt idx="95">
                  <c:v>21035518.93650379</c:v>
                </c:pt>
                <c:pt idx="96">
                  <c:v>23131859.123840626</c:v>
                </c:pt>
                <c:pt idx="97">
                  <c:v>21660887.835085735</c:v>
                </c:pt>
                <c:pt idx="98">
                  <c:v>21219243.132697355</c:v>
                </c:pt>
                <c:pt idx="99">
                  <c:v>18074261.768052172</c:v>
                </c:pt>
                <c:pt idx="100">
                  <c:v>17556183.310503945</c:v>
                </c:pt>
                <c:pt idx="101">
                  <c:v>20298149.983381726</c:v>
                </c:pt>
                <c:pt idx="102">
                  <c:v>27127156.322548598</c:v>
                </c:pt>
                <c:pt idx="103">
                  <c:v>24072740.88874482</c:v>
                </c:pt>
                <c:pt idx="104">
                  <c:v>20018794.939119544</c:v>
                </c:pt>
                <c:pt idx="105">
                  <c:v>17829414.075422585</c:v>
                </c:pt>
                <c:pt idx="106">
                  <c:v>20604473.706972733</c:v>
                </c:pt>
                <c:pt idx="107">
                  <c:v>20966033.503328018</c:v>
                </c:pt>
                <c:pt idx="108">
                  <c:v>21358213.9990489</c:v>
                </c:pt>
                <c:pt idx="109">
                  <c:v>21500718.023019549</c:v>
                </c:pt>
                <c:pt idx="110">
                  <c:v>19721184.302195974</c:v>
                </c:pt>
                <c:pt idx="111">
                  <c:v>18735433.326465111</c:v>
                </c:pt>
                <c:pt idx="112">
                  <c:v>18819994.002085481</c:v>
                </c:pt>
                <c:pt idx="113">
                  <c:v>23104891.020585302</c:v>
                </c:pt>
                <c:pt idx="114">
                  <c:v>27774784.256633312</c:v>
                </c:pt>
                <c:pt idx="115">
                  <c:v>24049775.359167349</c:v>
                </c:pt>
                <c:pt idx="116">
                  <c:v>18508251.876725927</c:v>
                </c:pt>
                <c:pt idx="117">
                  <c:v>17845195.427892886</c:v>
                </c:pt>
                <c:pt idx="118">
                  <c:v>18832712.96727347</c:v>
                </c:pt>
                <c:pt idx="119">
                  <c:v>21195688.748569973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72-40B1-8A63-8F151E27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Summary!$A$19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Summary!$B$21:$M$21</c:f>
              <c:numCache>
                <c:formatCode>#,##0</c:formatCode>
                <c:ptCount val="12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47449869.999999993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  <c:pt idx="10">
                  <c:v>59119624.275408983</c:v>
                </c:pt>
                <c:pt idx="11">
                  <c:v>59482525.257122323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7-4926-8AF5-C0A4907C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21268156.650984365</c:v>
                </c:pt>
                <c:pt idx="39">
                  <c:v>17858958.884850029</c:v>
                </c:pt>
                <c:pt idx="40">
                  <c:v>18304128.426408004</c:v>
                </c:pt>
                <c:pt idx="41">
                  <c:v>21946899.250017259</c:v>
                </c:pt>
                <c:pt idx="42">
                  <c:v>22857416.227472667</c:v>
                </c:pt>
                <c:pt idx="43">
                  <c:v>23466694.743389614</c:v>
                </c:pt>
                <c:pt idx="44">
                  <c:v>20038780.951614253</c:v>
                </c:pt>
                <c:pt idx="45">
                  <c:v>18479659.4675312</c:v>
                </c:pt>
                <c:pt idx="46">
                  <c:v>20543691.829601996</c:v>
                </c:pt>
                <c:pt idx="47">
                  <c:v>22323785.730134327</c:v>
                </c:pt>
                <c:pt idx="48">
                  <c:v>24490725.048694611</c:v>
                </c:pt>
                <c:pt idx="49">
                  <c:v>22668464.391569141</c:v>
                </c:pt>
                <c:pt idx="50">
                  <c:v>21175011.42675136</c:v>
                </c:pt>
                <c:pt idx="51">
                  <c:v>17875835.385010503</c:v>
                </c:pt>
                <c:pt idx="52">
                  <c:v>18294367.035577338</c:v>
                </c:pt>
                <c:pt idx="53">
                  <c:v>20496129.455374945</c:v>
                </c:pt>
                <c:pt idx="54">
                  <c:v>24118776.490557164</c:v>
                </c:pt>
                <c:pt idx="55">
                  <c:v>23636969.679585539</c:v>
                </c:pt>
                <c:pt idx="56">
                  <c:v>21716455.176306222</c:v>
                </c:pt>
                <c:pt idx="57">
                  <c:v>18327925.288411517</c:v>
                </c:pt>
                <c:pt idx="58">
                  <c:v>18801756.938978352</c:v>
                </c:pt>
                <c:pt idx="59">
                  <c:v>20490427.051083647</c:v>
                </c:pt>
                <c:pt idx="60">
                  <c:v>22653592.291770127</c:v>
                </c:pt>
                <c:pt idx="61">
                  <c:v>20376621.408394717</c:v>
                </c:pt>
                <c:pt idx="62">
                  <c:v>19654912.065019302</c:v>
                </c:pt>
                <c:pt idx="63">
                  <c:v>17963179.641643889</c:v>
                </c:pt>
                <c:pt idx="64">
                  <c:v>18300877.98826848</c:v>
                </c:pt>
                <c:pt idx="65">
                  <c:v>21583814.794893071</c:v>
                </c:pt>
                <c:pt idx="66">
                  <c:v>25836759.291517656</c:v>
                </c:pt>
                <c:pt idx="67">
                  <c:v>26931849.938142244</c:v>
                </c:pt>
                <c:pt idx="68">
                  <c:v>20441779.054766834</c:v>
                </c:pt>
                <c:pt idx="69">
                  <c:v>17245985.091391418</c:v>
                </c:pt>
                <c:pt idx="70">
                  <c:v>18311898.828016009</c:v>
                </c:pt>
                <c:pt idx="71">
                  <c:v>22148843.324640594</c:v>
                </c:pt>
                <c:pt idx="72">
                  <c:v>21977343.197596632</c:v>
                </c:pt>
                <c:pt idx="73">
                  <c:v>18527994.060588073</c:v>
                </c:pt>
                <c:pt idx="74">
                  <c:v>20029068.723579515</c:v>
                </c:pt>
                <c:pt idx="75">
                  <c:v>16543457.686570955</c:v>
                </c:pt>
                <c:pt idx="76">
                  <c:v>17499222.829562396</c:v>
                </c:pt>
                <c:pt idx="77">
                  <c:v>21049768.922553837</c:v>
                </c:pt>
                <c:pt idx="78">
                  <c:v>24733315.02554528</c:v>
                </c:pt>
                <c:pt idx="79">
                  <c:v>23109289.698536724</c:v>
                </c:pt>
                <c:pt idx="80">
                  <c:v>20211497.701528165</c:v>
                </c:pt>
                <c:pt idx="81">
                  <c:v>18586072.364519604</c:v>
                </c:pt>
                <c:pt idx="82">
                  <c:v>19735880.367511041</c:v>
                </c:pt>
                <c:pt idx="83">
                  <c:v>22680921.710502487</c:v>
                </c:pt>
                <c:pt idx="84">
                  <c:v>23743222.716993935</c:v>
                </c:pt>
                <c:pt idx="85">
                  <c:v>20012112.80951703</c:v>
                </c:pt>
                <c:pt idx="86">
                  <c:v>20455069.572040129</c:v>
                </c:pt>
                <c:pt idx="87">
                  <c:v>18739893.004563231</c:v>
                </c:pt>
                <c:pt idx="88">
                  <c:v>19457249.767086331</c:v>
                </c:pt>
                <c:pt idx="89">
                  <c:v>22168639.859609425</c:v>
                </c:pt>
                <c:pt idx="90">
                  <c:v>26798129.952132523</c:v>
                </c:pt>
                <c:pt idx="91">
                  <c:v>27110753.384655625</c:v>
                </c:pt>
                <c:pt idx="92">
                  <c:v>22106943.477178719</c:v>
                </c:pt>
                <c:pt idx="93">
                  <c:v>19369000.239701819</c:v>
                </c:pt>
                <c:pt idx="94">
                  <c:v>20771823.67222492</c:v>
                </c:pt>
                <c:pt idx="95">
                  <c:v>21933313.764748015</c:v>
                </c:pt>
                <c:pt idx="96">
                  <c:v>23653212.234410089</c:v>
                </c:pt>
                <c:pt idx="97">
                  <c:v>21218276.212864008</c:v>
                </c:pt>
                <c:pt idx="98">
                  <c:v>21380300.191317927</c:v>
                </c:pt>
                <c:pt idx="99">
                  <c:v>18233084.169771846</c:v>
                </c:pt>
                <c:pt idx="100">
                  <c:v>18178488.148225766</c:v>
                </c:pt>
                <c:pt idx="101">
                  <c:v>20292712.126679685</c:v>
                </c:pt>
                <c:pt idx="102">
                  <c:v>28533776.105133604</c:v>
                </c:pt>
                <c:pt idx="103">
                  <c:v>25521860.08358752</c:v>
                </c:pt>
                <c:pt idx="104">
                  <c:v>21364504.062041439</c:v>
                </c:pt>
                <c:pt idx="105">
                  <c:v>18521328.040495358</c:v>
                </c:pt>
                <c:pt idx="106">
                  <c:v>20696052.018949278</c:v>
                </c:pt>
                <c:pt idx="107">
                  <c:v>22218795.997403197</c:v>
                </c:pt>
                <c:pt idx="108">
                  <c:v>22784321.905369502</c:v>
                </c:pt>
                <c:pt idx="109">
                  <c:v>21142049.013006397</c:v>
                </c:pt>
                <c:pt idx="110">
                  <c:v>20489176.120643292</c:v>
                </c:pt>
                <c:pt idx="111">
                  <c:v>17889443.228280183</c:v>
                </c:pt>
                <c:pt idx="112">
                  <c:v>18625570.335917074</c:v>
                </c:pt>
                <c:pt idx="113">
                  <c:v>22975857.443553966</c:v>
                </c:pt>
                <c:pt idx="114">
                  <c:v>29101284.551190861</c:v>
                </c:pt>
                <c:pt idx="115">
                  <c:v>25159511.658827752</c:v>
                </c:pt>
                <c:pt idx="116">
                  <c:v>19597352.506464645</c:v>
                </c:pt>
                <c:pt idx="117">
                  <c:v>17915150.664101534</c:v>
                </c:pt>
                <c:pt idx="118">
                  <c:v>19156206.98173843</c:v>
                </c:pt>
                <c:pt idx="119">
                  <c:v>21713723.089375321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3C-4AC7-B289-A6E3CC8D94EF}"/>
            </c:ext>
          </c:extLst>
        </c:ser>
        <c:ser>
          <c:idx val="1"/>
          <c:order val="1"/>
          <c:tx>
            <c:v>Predicted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Weather!$W$122:$W$241</c:f>
              <c:numCache>
                <c:formatCode>_(* #,##0_);_(* \(#,##0\);_(* "-"??_);_(@_)</c:formatCode>
                <c:ptCount val="120"/>
                <c:pt idx="0">
                  <c:v>22998234.458931115</c:v>
                </c:pt>
                <c:pt idx="1">
                  <c:v>21873728.477330096</c:v>
                </c:pt>
                <c:pt idx="2">
                  <c:v>20960006.93596039</c:v>
                </c:pt>
                <c:pt idx="3">
                  <c:v>18771909.742182996</c:v>
                </c:pt>
                <c:pt idx="4">
                  <c:v>19046499.929598443</c:v>
                </c:pt>
                <c:pt idx="5">
                  <c:v>22396872.51499201</c:v>
                </c:pt>
                <c:pt idx="6">
                  <c:v>30654257.630402923</c:v>
                </c:pt>
                <c:pt idx="7">
                  <c:v>24705467.636184871</c:v>
                </c:pt>
                <c:pt idx="8">
                  <c:v>19402966.726727743</c:v>
                </c:pt>
                <c:pt idx="9">
                  <c:v>18042946.029422086</c:v>
                </c:pt>
                <c:pt idx="10">
                  <c:v>18968190.665884636</c:v>
                </c:pt>
                <c:pt idx="11">
                  <c:v>20723116.165975656</c:v>
                </c:pt>
                <c:pt idx="12">
                  <c:v>21604929.970980067</c:v>
                </c:pt>
                <c:pt idx="13">
                  <c:v>20834309.792703185</c:v>
                </c:pt>
                <c:pt idx="14">
                  <c:v>18879022.717832897</c:v>
                </c:pt>
                <c:pt idx="15">
                  <c:v>18541361.465565078</c:v>
                </c:pt>
                <c:pt idx="16">
                  <c:v>19559968.299610514</c:v>
                </c:pt>
                <c:pt idx="17">
                  <c:v>24267576.988388915</c:v>
                </c:pt>
                <c:pt idx="18">
                  <c:v>29165541.033279922</c:v>
                </c:pt>
                <c:pt idx="19">
                  <c:v>23945643.364276342</c:v>
                </c:pt>
                <c:pt idx="20">
                  <c:v>19490936.949869279</c:v>
                </c:pt>
                <c:pt idx="21">
                  <c:v>18171135.838776708</c:v>
                </c:pt>
                <c:pt idx="22">
                  <c:v>19868375.59182664</c:v>
                </c:pt>
                <c:pt idx="23">
                  <c:v>20726983.770383567</c:v>
                </c:pt>
                <c:pt idx="24">
                  <c:v>21863092.565208331</c:v>
                </c:pt>
                <c:pt idx="25">
                  <c:v>21643606.015059207</c:v>
                </c:pt>
                <c:pt idx="26">
                  <c:v>20999649.881141514</c:v>
                </c:pt>
                <c:pt idx="27">
                  <c:v>19008800.512167733</c:v>
                </c:pt>
                <c:pt idx="28">
                  <c:v>19847696.79079159</c:v>
                </c:pt>
                <c:pt idx="29">
                  <c:v>21314600.197923724</c:v>
                </c:pt>
                <c:pt idx="30">
                  <c:v>24997968.412891053</c:v>
                </c:pt>
                <c:pt idx="31">
                  <c:v>22974946.045436345</c:v>
                </c:pt>
                <c:pt idx="32">
                  <c:v>19251597.956633404</c:v>
                </c:pt>
                <c:pt idx="33">
                  <c:v>18505851.944892317</c:v>
                </c:pt>
                <c:pt idx="34">
                  <c:v>20211625.483029015</c:v>
                </c:pt>
                <c:pt idx="35">
                  <c:v>22078711.510949541</c:v>
                </c:pt>
                <c:pt idx="36">
                  <c:v>23760152.527290192</c:v>
                </c:pt>
                <c:pt idx="37">
                  <c:v>22748773.974620659</c:v>
                </c:pt>
                <c:pt idx="38">
                  <c:v>22091281.225275263</c:v>
                </c:pt>
                <c:pt idx="39">
                  <c:v>18671352.027577229</c:v>
                </c:pt>
                <c:pt idx="40">
                  <c:v>18553327.315166268</c:v>
                </c:pt>
                <c:pt idx="41">
                  <c:v>22390095.318708904</c:v>
                </c:pt>
                <c:pt idx="42">
                  <c:v>21108251.114563029</c:v>
                </c:pt>
                <c:pt idx="43">
                  <c:v>21789082.26090993</c:v>
                </c:pt>
                <c:pt idx="44">
                  <c:v>18484499.844533097</c:v>
                </c:pt>
                <c:pt idx="45">
                  <c:v>18050601.52010702</c:v>
                </c:pt>
                <c:pt idx="46">
                  <c:v>20565511.286353156</c:v>
                </c:pt>
                <c:pt idx="47">
                  <c:v>21202699.112557001</c:v>
                </c:pt>
                <c:pt idx="48">
                  <c:v>23346318.855643384</c:v>
                </c:pt>
                <c:pt idx="49">
                  <c:v>23773689.14271789</c:v>
                </c:pt>
                <c:pt idx="50">
                  <c:v>21397046.234054685</c:v>
                </c:pt>
                <c:pt idx="51">
                  <c:v>18669418.225373272</c:v>
                </c:pt>
                <c:pt idx="52">
                  <c:v>19198205.628347266</c:v>
                </c:pt>
                <c:pt idx="53">
                  <c:v>19996714.553911798</c:v>
                </c:pt>
                <c:pt idx="54">
                  <c:v>23281249.53666307</c:v>
                </c:pt>
                <c:pt idx="55">
                  <c:v>22259874.211880922</c:v>
                </c:pt>
                <c:pt idx="56">
                  <c:v>20432290.028003037</c:v>
                </c:pt>
                <c:pt idx="57">
                  <c:v>17872540.89065804</c:v>
                </c:pt>
                <c:pt idx="58">
                  <c:v>19075516.688204251</c:v>
                </c:pt>
                <c:pt idx="59">
                  <c:v>19966032.603126474</c:v>
                </c:pt>
                <c:pt idx="60">
                  <c:v>22166699.511229586</c:v>
                </c:pt>
                <c:pt idx="61">
                  <c:v>21251044.167655926</c:v>
                </c:pt>
                <c:pt idx="62">
                  <c:v>19841302.360971242</c:v>
                </c:pt>
                <c:pt idx="63">
                  <c:v>19142232.864240769</c:v>
                </c:pt>
                <c:pt idx="64">
                  <c:v>19427822.558140229</c:v>
                </c:pt>
                <c:pt idx="65">
                  <c:v>22152290.979037717</c:v>
                </c:pt>
                <c:pt idx="66">
                  <c:v>26765365.295061193</c:v>
                </c:pt>
                <c:pt idx="67">
                  <c:v>26558767.889746167</c:v>
                </c:pt>
                <c:pt idx="68">
                  <c:v>19807104.442654602</c:v>
                </c:pt>
                <c:pt idx="69">
                  <c:v>18462598.605826873</c:v>
                </c:pt>
                <c:pt idx="70">
                  <c:v>18979793.479108378</c:v>
                </c:pt>
                <c:pt idx="71">
                  <c:v>21956881.972100247</c:v>
                </c:pt>
                <c:pt idx="72">
                  <c:v>21579790.542328626</c:v>
                </c:pt>
                <c:pt idx="73">
                  <c:v>20192287.460989445</c:v>
                </c:pt>
                <c:pt idx="74">
                  <c:v>20836243.594907142</c:v>
                </c:pt>
                <c:pt idx="75">
                  <c:v>17930554.956776749</c:v>
                </c:pt>
                <c:pt idx="76">
                  <c:v>18328979.872791883</c:v>
                </c:pt>
                <c:pt idx="77">
                  <c:v>22248413.336772859</c:v>
                </c:pt>
                <c:pt idx="78">
                  <c:v>24255814.459910989</c:v>
                </c:pt>
                <c:pt idx="79">
                  <c:v>20893510.463223651</c:v>
                </c:pt>
                <c:pt idx="80">
                  <c:v>19817518.698529795</c:v>
                </c:pt>
                <c:pt idx="81">
                  <c:v>18126143.688046113</c:v>
                </c:pt>
                <c:pt idx="82">
                  <c:v>19932191.064557225</c:v>
                </c:pt>
                <c:pt idx="83">
                  <c:v>22428729.709865768</c:v>
                </c:pt>
                <c:pt idx="84">
                  <c:v>22753608.480130553</c:v>
                </c:pt>
                <c:pt idx="85">
                  <c:v>21195930.80484315</c:v>
                </c:pt>
                <c:pt idx="86">
                  <c:v>21098273.79354332</c:v>
                </c:pt>
                <c:pt idx="87">
                  <c:v>19756215.063997131</c:v>
                </c:pt>
                <c:pt idx="88">
                  <c:v>19571455.840426344</c:v>
                </c:pt>
                <c:pt idx="89">
                  <c:v>21710373.011579659</c:v>
                </c:pt>
                <c:pt idx="90">
                  <c:v>25855839.956169434</c:v>
                </c:pt>
                <c:pt idx="91">
                  <c:v>25641232.354376476</c:v>
                </c:pt>
                <c:pt idx="92">
                  <c:v>21514615.676486857</c:v>
                </c:pt>
                <c:pt idx="93">
                  <c:v>19464928.952362463</c:v>
                </c:pt>
                <c:pt idx="94">
                  <c:v>20616757.044758018</c:v>
                </c:pt>
                <c:pt idx="95">
                  <c:v>21092472.386931449</c:v>
                </c:pt>
                <c:pt idx="96">
                  <c:v>22813556.348453216</c:v>
                </c:pt>
                <c:pt idx="97">
                  <c:v>21547882.805963334</c:v>
                </c:pt>
                <c:pt idx="98">
                  <c:v>21243308.958840098</c:v>
                </c:pt>
                <c:pt idx="99">
                  <c:v>18623006.972478304</c:v>
                </c:pt>
                <c:pt idx="100">
                  <c:v>17911926.34632317</c:v>
                </c:pt>
                <c:pt idx="101">
                  <c:v>19802003.838051863</c:v>
                </c:pt>
                <c:pt idx="102">
                  <c:v>27573525.733499397</c:v>
                </c:pt>
                <c:pt idx="103">
                  <c:v>23560896.722812183</c:v>
                </c:pt>
                <c:pt idx="104">
                  <c:v>19166173.452012409</c:v>
                </c:pt>
                <c:pt idx="105">
                  <c:v>18372481.812804062</c:v>
                </c:pt>
                <c:pt idx="106">
                  <c:v>20719248.561567739</c:v>
                </c:pt>
                <c:pt idx="107">
                  <c:v>21035425.221914716</c:v>
                </c:pt>
                <c:pt idx="108">
                  <c:v>21357403.288873564</c:v>
                </c:pt>
                <c:pt idx="109">
                  <c:v>21435722.278133824</c:v>
                </c:pt>
                <c:pt idx="110">
                  <c:v>20013410.757123418</c:v>
                </c:pt>
                <c:pt idx="111">
                  <c:v>19184776.512727827</c:v>
                </c:pt>
                <c:pt idx="112">
                  <c:v>19093275.055848062</c:v>
                </c:pt>
                <c:pt idx="113">
                  <c:v>22798606.450514004</c:v>
                </c:pt>
                <c:pt idx="114">
                  <c:v>28430297.326129369</c:v>
                </c:pt>
                <c:pt idx="115">
                  <c:v>23502341.569938526</c:v>
                </c:pt>
                <c:pt idx="116">
                  <c:v>18262405.355878647</c:v>
                </c:pt>
                <c:pt idx="117">
                  <c:v>18297427.40020439</c:v>
                </c:pt>
                <c:pt idx="118">
                  <c:v>19202162.955424927</c:v>
                </c:pt>
                <c:pt idx="119">
                  <c:v>21223970.936800528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3C-4AC7-B289-A6E3CC8D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Weather!$T$122:$T$241</c:f>
              <c:numCache>
                <c:formatCode>General</c:formatCode>
                <c:ptCount val="120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15891102.014384367</c:v>
                </c:pt>
                <c:pt idx="39">
                  <c:v>12507089.81865003</c:v>
                </c:pt>
                <c:pt idx="40">
                  <c:v>13771426.307268005</c:v>
                </c:pt>
                <c:pt idx="41">
                  <c:v>17177291.00827726</c:v>
                </c:pt>
                <c:pt idx="42">
                  <c:v>17357691.137792669</c:v>
                </c:pt>
                <c:pt idx="43">
                  <c:v>17690439.324769616</c:v>
                </c:pt>
                <c:pt idx="44">
                  <c:v>14096469.177344253</c:v>
                </c:pt>
                <c:pt idx="45">
                  <c:v>13541780.452451201</c:v>
                </c:pt>
                <c:pt idx="46">
                  <c:v>15780684.681931995</c:v>
                </c:pt>
                <c:pt idx="47">
                  <c:v>16493439.341614328</c:v>
                </c:pt>
                <c:pt idx="48">
                  <c:v>18188422.62169461</c:v>
                </c:pt>
                <c:pt idx="49">
                  <c:v>15632720.079539143</c:v>
                </c:pt>
                <c:pt idx="50">
                  <c:v>14602194.93307136</c:v>
                </c:pt>
                <c:pt idx="51">
                  <c:v>12099141.437120503</c:v>
                </c:pt>
                <c:pt idx="52">
                  <c:v>13658601.090047337</c:v>
                </c:pt>
                <c:pt idx="53">
                  <c:v>16020419.720944945</c:v>
                </c:pt>
                <c:pt idx="54">
                  <c:v>19069218.814167164</c:v>
                </c:pt>
                <c:pt idx="55">
                  <c:v>17462555.595375538</c:v>
                </c:pt>
                <c:pt idx="56">
                  <c:v>15554290.811136222</c:v>
                </c:pt>
                <c:pt idx="57">
                  <c:v>12769517.919151517</c:v>
                </c:pt>
                <c:pt idx="58">
                  <c:v>14051270.635958351</c:v>
                </c:pt>
                <c:pt idx="59">
                  <c:v>15698453.892243646</c:v>
                </c:pt>
                <c:pt idx="60">
                  <c:v>17319299.615350127</c:v>
                </c:pt>
                <c:pt idx="61">
                  <c:v>14388687.574954716</c:v>
                </c:pt>
                <c:pt idx="62">
                  <c:v>14389225.821109302</c:v>
                </c:pt>
                <c:pt idx="63">
                  <c:v>12865676.512783889</c:v>
                </c:pt>
                <c:pt idx="64">
                  <c:v>13617898.10296848</c:v>
                </c:pt>
                <c:pt idx="65">
                  <c:v>17071153.269893073</c:v>
                </c:pt>
                <c:pt idx="66">
                  <c:v>20543988.171017654</c:v>
                </c:pt>
                <c:pt idx="67">
                  <c:v>20452601.431742243</c:v>
                </c:pt>
                <c:pt idx="68">
                  <c:v>14159633.710466832</c:v>
                </c:pt>
                <c:pt idx="69">
                  <c:v>12619453.404591419</c:v>
                </c:pt>
                <c:pt idx="70">
                  <c:v>13865773.93401601</c:v>
                </c:pt>
                <c:pt idx="71">
                  <c:v>17291418.577740595</c:v>
                </c:pt>
                <c:pt idx="72">
                  <c:v>15934226.292386632</c:v>
                </c:pt>
                <c:pt idx="73">
                  <c:v>12754607.086278073</c:v>
                </c:pt>
                <c:pt idx="74">
                  <c:v>15496962.397589516</c:v>
                </c:pt>
                <c:pt idx="75">
                  <c:v>11543987.561440956</c:v>
                </c:pt>
                <c:pt idx="76">
                  <c:v>13410945.516602395</c:v>
                </c:pt>
                <c:pt idx="77">
                  <c:v>16765511.411913838</c:v>
                </c:pt>
                <c:pt idx="78">
                  <c:v>19517864.55961528</c:v>
                </c:pt>
                <c:pt idx="79">
                  <c:v>16675033.687716722</c:v>
                </c:pt>
                <c:pt idx="80">
                  <c:v>14663111.569808166</c:v>
                </c:pt>
                <c:pt idx="81">
                  <c:v>13940408.447879603</c:v>
                </c:pt>
                <c:pt idx="82">
                  <c:v>15393477.964011041</c:v>
                </c:pt>
                <c:pt idx="83">
                  <c:v>17915940.354152486</c:v>
                </c:pt>
                <c:pt idx="84">
                  <c:v>17591390.139043935</c:v>
                </c:pt>
                <c:pt idx="85">
                  <c:v>13571468.80215703</c:v>
                </c:pt>
                <c:pt idx="86">
                  <c:v>15242457.00136013</c:v>
                </c:pt>
                <c:pt idx="87">
                  <c:v>13461592.841903232</c:v>
                </c:pt>
                <c:pt idx="88">
                  <c:v>14722540.35638633</c:v>
                </c:pt>
                <c:pt idx="89">
                  <c:v>17577510.036389425</c:v>
                </c:pt>
                <c:pt idx="90">
                  <c:v>21367705.480732523</c:v>
                </c:pt>
                <c:pt idx="91">
                  <c:v>20251129.819335625</c:v>
                </c:pt>
                <c:pt idx="92">
                  <c:v>15230610.440838721</c:v>
                </c:pt>
                <c:pt idx="93">
                  <c:v>13933937.997241817</c:v>
                </c:pt>
                <c:pt idx="94">
                  <c:v>16107052.38874492</c:v>
                </c:pt>
                <c:pt idx="95">
                  <c:v>16577541.964248015</c:v>
                </c:pt>
                <c:pt idx="96">
                  <c:v>17757430.689030088</c:v>
                </c:pt>
                <c:pt idx="97">
                  <c:v>14873849.313004009</c:v>
                </c:pt>
                <c:pt idx="98">
                  <c:v>15750595.661637928</c:v>
                </c:pt>
                <c:pt idx="99">
                  <c:v>12682157.212411847</c:v>
                </c:pt>
                <c:pt idx="100">
                  <c:v>13694494.181105766</c:v>
                </c:pt>
                <c:pt idx="101">
                  <c:v>15981523.619799685</c:v>
                </c:pt>
                <c:pt idx="102">
                  <c:v>23587865.887033604</c:v>
                </c:pt>
                <c:pt idx="103">
                  <c:v>18077568.220327519</c:v>
                </c:pt>
                <c:pt idx="104">
                  <c:v>14959514.526341438</c:v>
                </c:pt>
                <c:pt idx="105">
                  <c:v>13404273.102455359</c:v>
                </c:pt>
                <c:pt idx="106">
                  <c:v>16236946.044549279</c:v>
                </c:pt>
                <c:pt idx="107">
                  <c:v>16872982.174323197</c:v>
                </c:pt>
                <c:pt idx="108">
                  <c:v>16826407.506789502</c:v>
                </c:pt>
                <c:pt idx="109">
                  <c:v>15212643.070726397</c:v>
                </c:pt>
                <c:pt idx="110">
                  <c:v>15035061.339663293</c:v>
                </c:pt>
                <c:pt idx="111">
                  <c:v>12723582.632020183</c:v>
                </c:pt>
                <c:pt idx="112">
                  <c:v>13826486.532037074</c:v>
                </c:pt>
                <c:pt idx="113">
                  <c:v>18155463.194833964</c:v>
                </c:pt>
                <c:pt idx="114">
                  <c:v>23206401.05737086</c:v>
                </c:pt>
                <c:pt idx="115">
                  <c:v>17424190.359547753</c:v>
                </c:pt>
                <c:pt idx="116">
                  <c:v>13033347.459984645</c:v>
                </c:pt>
                <c:pt idx="117">
                  <c:v>13859265.472901534</c:v>
                </c:pt>
                <c:pt idx="118">
                  <c:v>16040911.954498429</c:v>
                </c:pt>
                <c:pt idx="119">
                  <c:v>18472701.40585532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0-4460-80A5-CA328AA800D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Weather!$U$122:$U$241</c:f>
              <c:numCache>
                <c:formatCode>_(* #,##0_);_(* \(#,##0\);_(* "-"??_);_(@_)</c:formatCode>
                <c:ptCount val="120"/>
                <c:pt idx="0">
                  <c:v>17645131.565689061</c:v>
                </c:pt>
                <c:pt idx="1">
                  <c:v>16653158.388144538</c:v>
                </c:pt>
                <c:pt idx="2">
                  <c:v>15749320.63344622</c:v>
                </c:pt>
                <c:pt idx="3">
                  <c:v>13747387.457368154</c:v>
                </c:pt>
                <c:pt idx="4">
                  <c:v>14064421.941748424</c:v>
                </c:pt>
                <c:pt idx="5">
                  <c:v>17292130.875330932</c:v>
                </c:pt>
                <c:pt idx="6">
                  <c:v>24700918.949590802</c:v>
                </c:pt>
                <c:pt idx="7">
                  <c:v>19419458.532445684</c:v>
                </c:pt>
                <c:pt idx="8">
                  <c:v>14456349.29329453</c:v>
                </c:pt>
                <c:pt idx="9">
                  <c:v>13125883.170402577</c:v>
                </c:pt>
                <c:pt idx="10">
                  <c:v>13914664.892566051</c:v>
                </c:pt>
                <c:pt idx="11">
                  <c:v>15528982.07633071</c:v>
                </c:pt>
                <c:pt idx="12">
                  <c:v>16349181.113430079</c:v>
                </c:pt>
                <c:pt idx="13">
                  <c:v>15668379.938995626</c:v>
                </c:pt>
                <c:pt idx="14">
                  <c:v>13886708.84860049</c:v>
                </c:pt>
                <c:pt idx="15">
                  <c:v>13533332.622465018</c:v>
                </c:pt>
                <c:pt idx="16">
                  <c:v>14628071.588700645</c:v>
                </c:pt>
                <c:pt idx="17">
                  <c:v>18950120.452096038</c:v>
                </c:pt>
                <c:pt idx="18">
                  <c:v>23379205.157761846</c:v>
                </c:pt>
                <c:pt idx="19">
                  <c:v>18739720.010933645</c:v>
                </c:pt>
                <c:pt idx="20">
                  <c:v>14548063.934574876</c:v>
                </c:pt>
                <c:pt idx="21">
                  <c:v>13251797.397955606</c:v>
                </c:pt>
                <c:pt idx="22">
                  <c:v>14751951.409604991</c:v>
                </c:pt>
                <c:pt idx="23">
                  <c:v>15532579.440528514</c:v>
                </c:pt>
                <c:pt idx="24">
                  <c:v>16589305.173633512</c:v>
                </c:pt>
                <c:pt idx="25">
                  <c:v>16439115.218375186</c:v>
                </c:pt>
                <c:pt idx="26">
                  <c:v>15786193.616473714</c:v>
                </c:pt>
                <c:pt idx="27">
                  <c:v>13959631.945038605</c:v>
                </c:pt>
                <c:pt idx="28">
                  <c:v>14884390.268424079</c:v>
                </c:pt>
                <c:pt idx="29">
                  <c:v>16306700.64519397</c:v>
                </c:pt>
                <c:pt idx="30">
                  <c:v>19656827.539957821</c:v>
                </c:pt>
                <c:pt idx="31">
                  <c:v>17849586.232763119</c:v>
                </c:pt>
                <c:pt idx="32">
                  <c:v>14347549.764326565</c:v>
                </c:pt>
                <c:pt idx="33">
                  <c:v>13560161.207209365</c:v>
                </c:pt>
                <c:pt idx="34">
                  <c:v>15071217.482160119</c:v>
                </c:pt>
                <c:pt idx="35">
                  <c:v>16789858.227661099</c:v>
                </c:pt>
                <c:pt idx="36">
                  <c:v>18353812.312656499</c:v>
                </c:pt>
                <c:pt idx="37">
                  <c:v>17467062.037897751</c:v>
                </c:pt>
                <c:pt idx="38">
                  <c:v>16801549.661303964</c:v>
                </c:pt>
                <c:pt idx="39">
                  <c:v>13641265.213532928</c:v>
                </c:pt>
                <c:pt idx="40">
                  <c:v>13679590.813023753</c:v>
                </c:pt>
                <c:pt idx="41">
                  <c:v>17320900.716031536</c:v>
                </c:pt>
                <c:pt idx="42">
                  <c:v>16188003.180178139</c:v>
                </c:pt>
                <c:pt idx="43">
                  <c:v>16797609.94947068</c:v>
                </c:pt>
                <c:pt idx="44">
                  <c:v>13612100.054409672</c:v>
                </c:pt>
                <c:pt idx="45">
                  <c:v>13067485.62398315</c:v>
                </c:pt>
                <c:pt idx="46">
                  <c:v>15400376.306259207</c:v>
                </c:pt>
                <c:pt idx="47">
                  <c:v>15975055.236858437</c:v>
                </c:pt>
                <c:pt idx="48">
                  <c:v>17968894.343491443</c:v>
                </c:pt>
                <c:pt idx="49">
                  <c:v>18420363.550315879</c:v>
                </c:pt>
                <c:pt idx="50">
                  <c:v>16155822.787798101</c:v>
                </c:pt>
                <c:pt idx="51">
                  <c:v>13636768.508285673</c:v>
                </c:pt>
                <c:pt idx="52">
                  <c:v>14304446.20025171</c:v>
                </c:pt>
                <c:pt idx="53">
                  <c:v>15147732.587914299</c:v>
                </c:pt>
                <c:pt idx="54">
                  <c:v>18131911.923740007</c:v>
                </c:pt>
                <c:pt idx="55">
                  <c:v>17194128.623460285</c:v>
                </c:pt>
                <c:pt idx="56">
                  <c:v>15492995.302715072</c:v>
                </c:pt>
                <c:pt idx="57">
                  <c:v>12929873.482157378</c:v>
                </c:pt>
                <c:pt idx="58">
                  <c:v>14022585.81850018</c:v>
                </c:pt>
                <c:pt idx="59">
                  <c:v>14824798.034610528</c:v>
                </c:pt>
                <c:pt idx="60">
                  <c:v>16871698.263161145</c:v>
                </c:pt>
                <c:pt idx="61">
                  <c:v>16055995.931309033</c:v>
                </c:pt>
                <c:pt idx="62">
                  <c:v>14708783.039231341</c:v>
                </c:pt>
                <c:pt idx="63">
                  <c:v>14076546.281467244</c:v>
                </c:pt>
                <c:pt idx="64">
                  <c:v>14388132.874511767</c:v>
                </c:pt>
                <c:pt idx="65">
                  <c:v>17102415.278305914</c:v>
                </c:pt>
                <c:pt idx="66">
                  <c:v>21248278.84032331</c:v>
                </c:pt>
                <c:pt idx="67">
                  <c:v>21064857.334518477</c:v>
                </c:pt>
                <c:pt idx="68">
                  <c:v>14936428.917324528</c:v>
                </c:pt>
                <c:pt idx="69">
                  <c:v>13532262.192786746</c:v>
                </c:pt>
                <c:pt idx="70">
                  <c:v>13926356.326208916</c:v>
                </c:pt>
                <c:pt idx="71">
                  <c:v>16676541.255430266</c:v>
                </c:pt>
                <c:pt idx="72">
                  <c:v>16325798.246144351</c:v>
                </c:pt>
                <c:pt idx="73">
                  <c:v>15089204.30314914</c:v>
                </c:pt>
                <c:pt idx="74">
                  <c:v>15634204.979116485</c:v>
                </c:pt>
                <c:pt idx="75">
                  <c:v>13009015.494509071</c:v>
                </c:pt>
                <c:pt idx="76">
                  <c:v>13437782.129807299</c:v>
                </c:pt>
                <c:pt idx="77">
                  <c:v>17159058.210909624</c:v>
                </c:pt>
                <c:pt idx="78">
                  <c:v>19020247.01981163</c:v>
                </c:pt>
                <c:pt idx="79">
                  <c:v>15982104.628766906</c:v>
                </c:pt>
                <c:pt idx="80">
                  <c:v>14870832.754131565</c:v>
                </c:pt>
                <c:pt idx="81">
                  <c:v>13222016.749371624</c:v>
                </c:pt>
                <c:pt idx="82">
                  <c:v>14811307.918868762</c:v>
                </c:pt>
                <c:pt idx="83">
                  <c:v>17115419.687562387</c:v>
                </c:pt>
                <c:pt idx="84">
                  <c:v>17417598.280177943</c:v>
                </c:pt>
                <c:pt idx="85">
                  <c:v>16022720.312479343</c:v>
                </c:pt>
                <c:pt idx="86">
                  <c:v>15877926.403517723</c:v>
                </c:pt>
                <c:pt idx="87">
                  <c:v>14647627.847868668</c:v>
                </c:pt>
                <c:pt idx="88">
                  <c:v>14619101.508473702</c:v>
                </c:pt>
                <c:pt idx="89">
                  <c:v>16717593.222463079</c:v>
                </c:pt>
                <c:pt idx="90">
                  <c:v>20439066.314713743</c:v>
                </c:pt>
                <c:pt idx="91">
                  <c:v>20250250.058738176</c:v>
                </c:pt>
                <c:pt idx="92">
                  <c:v>16421821.484027609</c:v>
                </c:pt>
                <c:pt idx="93">
                  <c:v>14418041.839567367</c:v>
                </c:pt>
                <c:pt idx="94">
                  <c:v>15448041.381880116</c:v>
                </c:pt>
                <c:pt idx="95">
                  <c:v>15872530.357221015</c:v>
                </c:pt>
                <c:pt idx="96">
                  <c:v>17473357.425243907</c:v>
                </c:pt>
                <c:pt idx="97">
                  <c:v>16350080.45447953</c:v>
                </c:pt>
                <c:pt idx="98">
                  <c:v>16012827.560935382</c:v>
                </c:pt>
                <c:pt idx="99">
                  <c:v>13597197.502109826</c:v>
                </c:pt>
                <c:pt idx="100">
                  <c:v>12994504.201876119</c:v>
                </c:pt>
                <c:pt idx="101">
                  <c:v>14924747.852689471</c:v>
                </c:pt>
                <c:pt idx="102">
                  <c:v>21965780.613030463</c:v>
                </c:pt>
                <c:pt idx="103">
                  <c:v>18399850.750177629</c:v>
                </c:pt>
                <c:pt idx="104">
                  <c:v>14394253.284851177</c:v>
                </c:pt>
                <c:pt idx="105">
                  <c:v>13373161.779096367</c:v>
                </c:pt>
                <c:pt idx="106">
                  <c:v>15543371.533121927</c:v>
                </c:pt>
                <c:pt idx="107">
                  <c:v>15819469.235303404</c:v>
                </c:pt>
                <c:pt idx="108">
                  <c:v>16118949.804770608</c:v>
                </c:pt>
                <c:pt idx="109">
                  <c:v>16227770.071754185</c:v>
                </c:pt>
                <c:pt idx="110">
                  <c:v>14868865.746033629</c:v>
                </c:pt>
                <c:pt idx="111">
                  <c:v>14116117.28764309</c:v>
                </c:pt>
                <c:pt idx="112">
                  <c:v>14095088.970122097</c:v>
                </c:pt>
                <c:pt idx="113">
                  <c:v>17673367.232109748</c:v>
                </c:pt>
                <c:pt idx="114">
                  <c:v>22726440.387103453</c:v>
                </c:pt>
                <c:pt idx="115">
                  <c:v>18351297.998641051</c:v>
                </c:pt>
                <c:pt idx="116">
                  <c:v>13449336.174096715</c:v>
                </c:pt>
                <c:pt idx="117">
                  <c:v>13307599.315178778</c:v>
                </c:pt>
                <c:pt idx="118">
                  <c:v>14146676.737560762</c:v>
                </c:pt>
                <c:pt idx="119">
                  <c:v>15994840.739946362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B0-4460-80A5-CA328AA8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Weather!$T$122:$T$241</c:f>
              <c:numCache>
                <c:formatCode>General</c:formatCode>
                <c:ptCount val="120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15891102.014384367</c:v>
                </c:pt>
                <c:pt idx="39">
                  <c:v>12507089.81865003</c:v>
                </c:pt>
                <c:pt idx="40">
                  <c:v>13771426.307268005</c:v>
                </c:pt>
                <c:pt idx="41">
                  <c:v>17177291.00827726</c:v>
                </c:pt>
                <c:pt idx="42">
                  <c:v>17357691.137792669</c:v>
                </c:pt>
                <c:pt idx="43">
                  <c:v>17690439.324769616</c:v>
                </c:pt>
                <c:pt idx="44">
                  <c:v>14096469.177344253</c:v>
                </c:pt>
                <c:pt idx="45">
                  <c:v>13541780.452451201</c:v>
                </c:pt>
                <c:pt idx="46">
                  <c:v>15780684.681931995</c:v>
                </c:pt>
                <c:pt idx="47">
                  <c:v>16493439.341614328</c:v>
                </c:pt>
                <c:pt idx="48">
                  <c:v>18188422.62169461</c:v>
                </c:pt>
                <c:pt idx="49">
                  <c:v>15632720.079539143</c:v>
                </c:pt>
                <c:pt idx="50">
                  <c:v>14602194.93307136</c:v>
                </c:pt>
                <c:pt idx="51">
                  <c:v>12099141.437120503</c:v>
                </c:pt>
                <c:pt idx="52">
                  <c:v>13658601.090047337</c:v>
                </c:pt>
                <c:pt idx="53">
                  <c:v>16020419.720944945</c:v>
                </c:pt>
                <c:pt idx="54">
                  <c:v>19069218.814167164</c:v>
                </c:pt>
                <c:pt idx="55">
                  <c:v>17462555.595375538</c:v>
                </c:pt>
                <c:pt idx="56">
                  <c:v>15554290.811136222</c:v>
                </c:pt>
                <c:pt idx="57">
                  <c:v>12769517.919151517</c:v>
                </c:pt>
                <c:pt idx="58">
                  <c:v>14051270.635958351</c:v>
                </c:pt>
                <c:pt idx="59">
                  <c:v>15698453.892243646</c:v>
                </c:pt>
                <c:pt idx="60">
                  <c:v>17319299.615350127</c:v>
                </c:pt>
                <c:pt idx="61">
                  <c:v>14388687.574954716</c:v>
                </c:pt>
                <c:pt idx="62">
                  <c:v>14389225.821109302</c:v>
                </c:pt>
                <c:pt idx="63">
                  <c:v>12865676.512783889</c:v>
                </c:pt>
                <c:pt idx="64">
                  <c:v>13617898.10296848</c:v>
                </c:pt>
                <c:pt idx="65">
                  <c:v>17071153.269893073</c:v>
                </c:pt>
                <c:pt idx="66">
                  <c:v>20543988.171017654</c:v>
                </c:pt>
                <c:pt idx="67">
                  <c:v>20452601.431742243</c:v>
                </c:pt>
                <c:pt idx="68">
                  <c:v>14159633.710466832</c:v>
                </c:pt>
                <c:pt idx="69">
                  <c:v>12619453.404591419</c:v>
                </c:pt>
                <c:pt idx="70">
                  <c:v>13865773.93401601</c:v>
                </c:pt>
                <c:pt idx="71">
                  <c:v>17291418.577740595</c:v>
                </c:pt>
                <c:pt idx="72">
                  <c:v>15934226.292386632</c:v>
                </c:pt>
                <c:pt idx="73">
                  <c:v>12754607.086278073</c:v>
                </c:pt>
                <c:pt idx="74">
                  <c:v>15496962.397589516</c:v>
                </c:pt>
                <c:pt idx="75">
                  <c:v>11543987.561440956</c:v>
                </c:pt>
                <c:pt idx="76">
                  <c:v>13410945.516602395</c:v>
                </c:pt>
                <c:pt idx="77">
                  <c:v>16765511.411913838</c:v>
                </c:pt>
                <c:pt idx="78">
                  <c:v>19517864.55961528</c:v>
                </c:pt>
                <c:pt idx="79">
                  <c:v>16675033.687716722</c:v>
                </c:pt>
                <c:pt idx="80">
                  <c:v>14663111.569808166</c:v>
                </c:pt>
                <c:pt idx="81">
                  <c:v>13940408.447879603</c:v>
                </c:pt>
                <c:pt idx="82">
                  <c:v>15393477.964011041</c:v>
                </c:pt>
                <c:pt idx="83">
                  <c:v>17915940.354152486</c:v>
                </c:pt>
                <c:pt idx="84">
                  <c:v>17591390.139043935</c:v>
                </c:pt>
                <c:pt idx="85">
                  <c:v>13571468.80215703</c:v>
                </c:pt>
                <c:pt idx="86">
                  <c:v>15242457.00136013</c:v>
                </c:pt>
                <c:pt idx="87">
                  <c:v>13461592.841903232</c:v>
                </c:pt>
                <c:pt idx="88">
                  <c:v>14722540.35638633</c:v>
                </c:pt>
                <c:pt idx="89">
                  <c:v>17577510.036389425</c:v>
                </c:pt>
                <c:pt idx="90">
                  <c:v>21367705.480732523</c:v>
                </c:pt>
                <c:pt idx="91">
                  <c:v>20251129.819335625</c:v>
                </c:pt>
                <c:pt idx="92">
                  <c:v>15230610.440838721</c:v>
                </c:pt>
                <c:pt idx="93">
                  <c:v>13933937.997241817</c:v>
                </c:pt>
                <c:pt idx="94">
                  <c:v>16107052.38874492</c:v>
                </c:pt>
                <c:pt idx="95">
                  <c:v>16577541.964248015</c:v>
                </c:pt>
                <c:pt idx="96">
                  <c:v>17757430.689030088</c:v>
                </c:pt>
                <c:pt idx="97">
                  <c:v>14873849.313004009</c:v>
                </c:pt>
                <c:pt idx="98">
                  <c:v>15750595.661637928</c:v>
                </c:pt>
                <c:pt idx="99">
                  <c:v>12682157.212411847</c:v>
                </c:pt>
                <c:pt idx="100">
                  <c:v>13694494.181105766</c:v>
                </c:pt>
                <c:pt idx="101">
                  <c:v>15981523.619799685</c:v>
                </c:pt>
                <c:pt idx="102">
                  <c:v>23587865.887033604</c:v>
                </c:pt>
                <c:pt idx="103">
                  <c:v>18077568.220327519</c:v>
                </c:pt>
                <c:pt idx="104">
                  <c:v>14959514.526341438</c:v>
                </c:pt>
                <c:pt idx="105">
                  <c:v>13404273.102455359</c:v>
                </c:pt>
                <c:pt idx="106">
                  <c:v>16236946.044549279</c:v>
                </c:pt>
                <c:pt idx="107">
                  <c:v>16872982.174323197</c:v>
                </c:pt>
                <c:pt idx="108">
                  <c:v>16826407.506789502</c:v>
                </c:pt>
                <c:pt idx="109">
                  <c:v>15212643.070726397</c:v>
                </c:pt>
                <c:pt idx="110">
                  <c:v>15035061.339663293</c:v>
                </c:pt>
                <c:pt idx="111">
                  <c:v>12723582.632020183</c:v>
                </c:pt>
                <c:pt idx="112">
                  <c:v>13826486.532037074</c:v>
                </c:pt>
                <c:pt idx="113">
                  <c:v>18155463.194833964</c:v>
                </c:pt>
                <c:pt idx="114">
                  <c:v>23206401.05737086</c:v>
                </c:pt>
                <c:pt idx="115">
                  <c:v>17424190.359547753</c:v>
                </c:pt>
                <c:pt idx="116">
                  <c:v>13033347.459984645</c:v>
                </c:pt>
                <c:pt idx="117">
                  <c:v>13859265.472901534</c:v>
                </c:pt>
                <c:pt idx="118">
                  <c:v>16040911.954498429</c:v>
                </c:pt>
                <c:pt idx="119">
                  <c:v>18472701.40585532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B7-4BBC-A678-3BF79A39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Summary!$A$24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Summary!$B$26:$M$26</c:f>
              <c:numCache>
                <c:formatCode>#,##0</c:formatCode>
                <c:ptCount val="12"/>
                <c:pt idx="0">
                  <c:v>2245234</c:v>
                </c:pt>
                <c:pt idx="1">
                  <c:v>2346377.4925071769</c:v>
                </c:pt>
                <c:pt idx="2">
                  <c:v>2512897.9552900312</c:v>
                </c:pt>
                <c:pt idx="3">
                  <c:v>2302093</c:v>
                </c:pt>
                <c:pt idx="4">
                  <c:v>2368288.5914556528</c:v>
                </c:pt>
                <c:pt idx="5">
                  <c:v>1585584</c:v>
                </c:pt>
                <c:pt idx="6">
                  <c:v>1361607</c:v>
                </c:pt>
                <c:pt idx="7">
                  <c:v>1349349</c:v>
                </c:pt>
                <c:pt idx="8">
                  <c:v>1353784</c:v>
                </c:pt>
                <c:pt idx="9">
                  <c:v>1283668</c:v>
                </c:pt>
                <c:pt idx="10">
                  <c:v>1296260.7933518728</c:v>
                </c:pt>
                <c:pt idx="11">
                  <c:v>1308977.1221072949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5-495F-A1FC-5B1095B0B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Summary!$A$29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Summary!$B$31:$M$31</c:f>
              <c:numCache>
                <c:formatCode>#,##0</c:formatCode>
                <c:ptCount val="12"/>
                <c:pt idx="0">
                  <c:v>201696</c:v>
                </c:pt>
                <c:pt idx="1">
                  <c:v>262229</c:v>
                </c:pt>
                <c:pt idx="2">
                  <c:v>260597</c:v>
                </c:pt>
                <c:pt idx="3">
                  <c:v>259677</c:v>
                </c:pt>
                <c:pt idx="4">
                  <c:v>259607</c:v>
                </c:pt>
                <c:pt idx="5">
                  <c:v>257059</c:v>
                </c:pt>
                <c:pt idx="6">
                  <c:v>255469</c:v>
                </c:pt>
                <c:pt idx="7">
                  <c:v>249143</c:v>
                </c:pt>
                <c:pt idx="8">
                  <c:v>246885</c:v>
                </c:pt>
                <c:pt idx="9">
                  <c:v>248217</c:v>
                </c:pt>
                <c:pt idx="10">
                  <c:v>248217</c:v>
                </c:pt>
                <c:pt idx="11">
                  <c:v>248217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0-4D74-9DBB-26049905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Summary!$A$33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Summary!$B$35:$M$35</c:f>
              <c:numCache>
                <c:formatCode>#,##0</c:formatCode>
                <c:ptCount val="12"/>
                <c:pt idx="0">
                  <c:v>180196</c:v>
                </c:pt>
                <c:pt idx="1">
                  <c:v>174345</c:v>
                </c:pt>
                <c:pt idx="2">
                  <c:v>180742</c:v>
                </c:pt>
                <c:pt idx="3">
                  <c:v>178799</c:v>
                </c:pt>
                <c:pt idx="4">
                  <c:v>162569</c:v>
                </c:pt>
                <c:pt idx="5">
                  <c:v>153690</c:v>
                </c:pt>
                <c:pt idx="6">
                  <c:v>152795</c:v>
                </c:pt>
                <c:pt idx="7">
                  <c:v>149558</c:v>
                </c:pt>
                <c:pt idx="8">
                  <c:v>144657</c:v>
                </c:pt>
                <c:pt idx="9">
                  <c:v>141998</c:v>
                </c:pt>
                <c:pt idx="10">
                  <c:v>141998</c:v>
                </c:pt>
                <c:pt idx="11">
                  <c:v>141998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F-4237-B9DA-2F76CBC5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Summary!$B$40:$M$40</c:f>
              <c:numCache>
                <c:formatCode>#,##0</c:formatCode>
                <c:ptCount val="12"/>
                <c:pt idx="0">
                  <c:v>52740415.399999999</c:v>
                </c:pt>
                <c:pt idx="1">
                  <c:v>50111690.900000006</c:v>
                </c:pt>
                <c:pt idx="2">
                  <c:v>49811242</c:v>
                </c:pt>
                <c:pt idx="3">
                  <c:v>60211197.32</c:v>
                </c:pt>
                <c:pt idx="4">
                  <c:v>62244251.450000003</c:v>
                </c:pt>
                <c:pt idx="5">
                  <c:v>58154767.430000007</c:v>
                </c:pt>
                <c:pt idx="6">
                  <c:v>56843411</c:v>
                </c:pt>
                <c:pt idx="7">
                  <c:v>61680653</c:v>
                </c:pt>
                <c:pt idx="8">
                  <c:v>60666329</c:v>
                </c:pt>
                <c:pt idx="9">
                  <c:v>50859469</c:v>
                </c:pt>
                <c:pt idx="10">
                  <c:v>57735483.666666672</c:v>
                </c:pt>
                <c:pt idx="11">
                  <c:v>57735483.666666672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C-40A0-8945-A06E09A6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Weather Normal</c:v>
                </c:pt>
                <c:pt idx="11">
                  <c:v>2022 Weather Normal</c:v>
                </c:pt>
              </c:strCache>
            </c:strRef>
          </c:cat>
          <c:val>
            <c:numRef>
              <c:f>Summary!$B$45:$M$45</c:f>
              <c:numCache>
                <c:formatCode>#,##0</c:formatCode>
                <c:ptCount val="12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219820869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  <c:pt idx="10">
                  <c:v>237606139.84135252</c:v>
                </c:pt>
                <c:pt idx="11">
                  <c:v>240081042.83094484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7-4FC5-97AA-1F6F1176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System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(WN)'!$G$67:$G$78</c:f>
              <c:numCache>
                <c:formatCode>#,##0;\(#,##0\)</c:formatCode>
                <c:ptCount val="12"/>
                <c:pt idx="0">
                  <c:v>238856492.26911449</c:v>
                </c:pt>
                <c:pt idx="1">
                  <c:v>233356982.08192354</c:v>
                </c:pt>
                <c:pt idx="2">
                  <c:v>229959288.81283829</c:v>
                </c:pt>
                <c:pt idx="3">
                  <c:v>241040727.67171633</c:v>
                </c:pt>
                <c:pt idx="4">
                  <c:v>249114163.51260898</c:v>
                </c:pt>
                <c:pt idx="5">
                  <c:v>236278772.13034979</c:v>
                </c:pt>
                <c:pt idx="6">
                  <c:v>225209822.5776476</c:v>
                </c:pt>
                <c:pt idx="7">
                  <c:v>239891555.2480067</c:v>
                </c:pt>
                <c:pt idx="8">
                  <c:v>243581014.02921012</c:v>
                </c:pt>
                <c:pt idx="9">
                  <c:v>230776438.55646327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A-40E9-9D60-511A61F84F9F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(WN)'!$G$5:$G$14</c:f>
              <c:numCache>
                <c:formatCode>#,##0</c:formatCode>
                <c:ptCount val="10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219820869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A-40E9-9D60-511A61F8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423862</xdr:colOff>
      <xdr:row>3</xdr:row>
      <xdr:rowOff>42862</xdr:rowOff>
    </xdr:from>
    <xdr:to>
      <xdr:col>21</xdr:col>
      <xdr:colOff>28575</xdr:colOff>
      <xdr:row>16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AB995A-6FF5-4A39-9DAB-E41993F56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276225</xdr:colOff>
      <xdr:row>11</xdr:row>
      <xdr:rowOff>0</xdr:rowOff>
    </xdr:from>
    <xdr:to>
      <xdr:col>30</xdr:col>
      <xdr:colOff>209550</xdr:colOff>
      <xdr:row>29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E0D832-3535-47C8-9712-4F47B1A8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209549</xdr:colOff>
      <xdr:row>18</xdr:row>
      <xdr:rowOff>66675</xdr:rowOff>
    </xdr:from>
    <xdr:to>
      <xdr:col>20</xdr:col>
      <xdr:colOff>485774</xdr:colOff>
      <xdr:row>34</xdr:row>
      <xdr:rowOff>85724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4901DA-DD08-45B2-B304-8CF1A483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209550</xdr:colOff>
      <xdr:row>29</xdr:row>
      <xdr:rowOff>114300</xdr:rowOff>
    </xdr:from>
    <xdr:to>
      <xdr:col>29</xdr:col>
      <xdr:colOff>542925</xdr:colOff>
      <xdr:row>43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7E1F08-A79E-4924-B017-809B789DA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76200</xdr:colOff>
      <xdr:row>36</xdr:row>
      <xdr:rowOff>19050</xdr:rowOff>
    </xdr:from>
    <xdr:to>
      <xdr:col>21</xdr:col>
      <xdr:colOff>85725</xdr:colOff>
      <xdr:row>50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925DA33-5701-4C41-A007-0532BD531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361950</xdr:colOff>
      <xdr:row>44</xdr:row>
      <xdr:rowOff>66675</xdr:rowOff>
    </xdr:from>
    <xdr:to>
      <xdr:col>30</xdr:col>
      <xdr:colOff>85725</xdr:colOff>
      <xdr:row>58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39F10D-4A78-4000-B280-14840A882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51</xdr:row>
      <xdr:rowOff>0</xdr:rowOff>
    </xdr:from>
    <xdr:to>
      <xdr:col>21</xdr:col>
      <xdr:colOff>9525</xdr:colOff>
      <xdr:row>65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2CA6139-1578-4A75-824C-E9F7C6453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180974</xdr:colOff>
      <xdr:row>65</xdr:row>
      <xdr:rowOff>142874</xdr:rowOff>
    </xdr:from>
    <xdr:to>
      <xdr:col>29</xdr:col>
      <xdr:colOff>57150</xdr:colOff>
      <xdr:row>92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C8738BC-A06E-4005-84CE-2B3308713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538161</xdr:colOff>
      <xdr:row>3</xdr:row>
      <xdr:rowOff>66675</xdr:rowOff>
    </xdr:from>
    <xdr:to>
      <xdr:col>25</xdr:col>
      <xdr:colOff>266699</xdr:colOff>
      <xdr:row>20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56B631-C5DE-429D-BFAB-7AF8443F2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561975</xdr:colOff>
      <xdr:row>20</xdr:row>
      <xdr:rowOff>152400</xdr:rowOff>
    </xdr:from>
    <xdr:to>
      <xdr:col>25</xdr:col>
      <xdr:colOff>290513</xdr:colOff>
      <xdr:row>37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211F2E-F6E4-4A4F-B207-936C532D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39</xdr:row>
      <xdr:rowOff>0</xdr:rowOff>
    </xdr:from>
    <xdr:to>
      <xdr:col>25</xdr:col>
      <xdr:colOff>404813</xdr:colOff>
      <xdr:row>55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78BB29-1189-4713-9464-F9B3475D6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228600</xdr:colOff>
      <xdr:row>57</xdr:row>
      <xdr:rowOff>0</xdr:rowOff>
    </xdr:from>
    <xdr:to>
      <xdr:col>26</xdr:col>
      <xdr:colOff>23813</xdr:colOff>
      <xdr:row>73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624A25-ECAB-41C6-AD4A-D1E9BE6A3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704856</xdr:colOff>
      <xdr:row>19</xdr:row>
      <xdr:rowOff>47631</xdr:rowOff>
    </xdr:from>
    <xdr:to>
      <xdr:col>12</xdr:col>
      <xdr:colOff>257181</xdr:colOff>
      <xdr:row>36</xdr:row>
      <xdr:rowOff>38106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224390-97D8-43BF-9CE7-62698C68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37</xdr:row>
      <xdr:rowOff>0</xdr:rowOff>
    </xdr:from>
    <xdr:to>
      <xdr:col>12</xdr:col>
      <xdr:colOff>400050</xdr:colOff>
      <xdr:row>53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7A92EC-9605-41B3-83DA-09754BAB1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20</xdr:col>
      <xdr:colOff>304800</xdr:colOff>
      <xdr:row>35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E82C3E-79B5-43BD-BAF0-43854AFA4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38</xdr:row>
      <xdr:rowOff>0</xdr:rowOff>
    </xdr:from>
    <xdr:to>
      <xdr:col>20</xdr:col>
      <xdr:colOff>304800</xdr:colOff>
      <xdr:row>54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541C74-099F-4ADD-9636-C77F28B81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45</xdr:row>
      <xdr:rowOff>114300</xdr:rowOff>
    </xdr:from>
    <xdr:to>
      <xdr:col>9</xdr:col>
      <xdr:colOff>619125</xdr:colOff>
      <xdr:row>62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E6E89C-1F30-4046-8141-40913228F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9</xdr:col>
      <xdr:colOff>604838</xdr:colOff>
      <xdr:row>79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4F31D8-5D3D-4143-AD30-F1684704D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9</xdr:col>
      <xdr:colOff>604838</xdr:colOff>
      <xdr:row>97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E818AA-0830-4863-AE10-68F0770A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9</xdr:col>
      <xdr:colOff>604838</xdr:colOff>
      <xdr:row>114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342DD7-8DD1-4467-A4E8-0A5B727E6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9</xdr:col>
      <xdr:colOff>604838</xdr:colOff>
      <xdr:row>131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F08229-3C75-4B57-89BE-06B6AD32A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132</xdr:row>
      <xdr:rowOff>0</xdr:rowOff>
    </xdr:from>
    <xdr:to>
      <xdr:col>9</xdr:col>
      <xdr:colOff>604838</xdr:colOff>
      <xdr:row>148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5DA8614-1067-4452-8119-D24A24EAC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242986</xdr:colOff>
      <xdr:row>31</xdr:row>
      <xdr:rowOff>86308</xdr:rowOff>
    </xdr:from>
    <xdr:to>
      <xdr:col>28</xdr:col>
      <xdr:colOff>9720</xdr:colOff>
      <xdr:row>61</xdr:row>
      <xdr:rowOff>77754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6C16E6-1364-46BE-90C8-77A759094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88</xdr:row>
      <xdr:rowOff>0</xdr:rowOff>
    </xdr:from>
    <xdr:to>
      <xdr:col>30</xdr:col>
      <xdr:colOff>369336</xdr:colOff>
      <xdr:row>117</xdr:row>
      <xdr:rowOff>156677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4A3B1-9542-4992-9EA0-62134F405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115</xdr:row>
      <xdr:rowOff>28575</xdr:rowOff>
    </xdr:from>
    <xdr:to>
      <xdr:col>20</xdr:col>
      <xdr:colOff>581024</xdr:colOff>
      <xdr:row>132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D6F542-2919-4CA4-908E-E09042E79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133</xdr:row>
      <xdr:rowOff>0</xdr:rowOff>
    </xdr:from>
    <xdr:to>
      <xdr:col>21</xdr:col>
      <xdr:colOff>19050</xdr:colOff>
      <xdr:row>149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A9CFFDD-799B-4DFB-A940-A52521973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125</xdr:row>
      <xdr:rowOff>152400</xdr:rowOff>
    </xdr:from>
    <xdr:to>
      <xdr:col>34</xdr:col>
      <xdr:colOff>171450</xdr:colOff>
      <xdr:row>142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C293FB-CDE0-42C3-84DF-E1661FE8A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85725</xdr:colOff>
      <xdr:row>106</xdr:row>
      <xdr:rowOff>123825</xdr:rowOff>
    </xdr:from>
    <xdr:to>
      <xdr:col>34</xdr:col>
      <xdr:colOff>161925</xdr:colOff>
      <xdr:row>123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06ED5E-AADF-4189-9826-700E4EC43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600074</xdr:colOff>
      <xdr:row>110</xdr:row>
      <xdr:rowOff>38100</xdr:rowOff>
    </xdr:from>
    <xdr:to>
      <xdr:col>52</xdr:col>
      <xdr:colOff>342899</xdr:colOff>
      <xdr:row>128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D97879F-E8CC-4FDE-A8F7-76B4881F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561975</xdr:colOff>
      <xdr:row>130</xdr:row>
      <xdr:rowOff>19050</xdr:rowOff>
    </xdr:from>
    <xdr:to>
      <xdr:col>52</xdr:col>
      <xdr:colOff>304800</xdr:colOff>
      <xdr:row>148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F35F4D-C9F7-45E0-889C-7A5F0D641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533400</xdr:colOff>
      <xdr:row>149</xdr:row>
      <xdr:rowOff>104775</xdr:rowOff>
    </xdr:from>
    <xdr:to>
      <xdr:col>52</xdr:col>
      <xdr:colOff>276225</xdr:colOff>
      <xdr:row>168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FB70F15-EB7E-416A-B6B5-92AD4090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38100</xdr:colOff>
      <xdr:row>149</xdr:row>
      <xdr:rowOff>114300</xdr:rowOff>
    </xdr:from>
    <xdr:to>
      <xdr:col>34</xdr:col>
      <xdr:colOff>114300</xdr:colOff>
      <xdr:row>166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99C5C48-81AF-4D83-9D94-C5C63340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Rebasing/2012%20%20Rate%20Application%20Files%20with%202006%20Start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bbacon/My%20Documents/Orillia/2010%20Rates/2010%20Rate%20File%20-%20July%202,%202009/Documents%20and%20Settings/mmaw/Local%20Settings/Temporary%20Internet%20Files/OLKBC/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XFD68"/>
  <sheetViews>
    <sheetView workbookViewId="0">
      <pane xSplit="1" ySplit="3" topLeftCell="I34" activePane="bottomRight" state="frozen"/>
      <selection activeCell="Y368" sqref="Y368"/>
      <selection pane="topRight" activeCell="Y368" sqref="Y368"/>
      <selection pane="bottomLeft" activeCell="Y368" sqref="Y368"/>
      <selection pane="bottomRight" activeCell="M11" sqref="M11"/>
    </sheetView>
  </sheetViews>
  <sheetFormatPr defaultRowHeight="12.75" x14ac:dyDescent="0.2"/>
  <cols>
    <col min="1" max="1" width="32.7109375" customWidth="1"/>
    <col min="2" max="2" width="12.7109375" style="1" customWidth="1"/>
    <col min="3" max="3" width="13" style="1" customWidth="1"/>
    <col min="4" max="4" width="12.7109375" style="1" bestFit="1" customWidth="1"/>
    <col min="5" max="6" width="12.85546875" style="1" customWidth="1"/>
    <col min="7" max="7" width="12.7109375" style="16" bestFit="1" customWidth="1"/>
    <col min="8" max="11" width="12.7109375" style="16" customWidth="1"/>
    <col min="12" max="12" width="12.5703125" style="1" customWidth="1"/>
    <col min="13" max="13" width="12.5703125" style="69" customWidth="1"/>
    <col min="14" max="14" width="2.140625" customWidth="1"/>
    <col min="15" max="15" width="14" customWidth="1"/>
    <col min="16" max="16" width="11.85546875" style="69" customWidth="1"/>
    <col min="17" max="17" width="13.5703125" customWidth="1"/>
    <col min="18" max="18" width="11.140625" bestFit="1" customWidth="1"/>
  </cols>
  <sheetData>
    <row r="1" spans="1:18 16384:16384" ht="15.75" x14ac:dyDescent="0.25">
      <c r="A1" s="30" t="s">
        <v>84</v>
      </c>
      <c r="XFD1" s="46"/>
    </row>
    <row r="2" spans="1:18 16384:16384" x14ac:dyDescent="0.2">
      <c r="P2" s="247"/>
    </row>
    <row r="3" spans="1:18 16384:16384" ht="38.25" x14ac:dyDescent="0.2">
      <c r="B3" s="32" t="s">
        <v>66</v>
      </c>
      <c r="C3" s="32" t="s">
        <v>68</v>
      </c>
      <c r="D3" s="32" t="s">
        <v>69</v>
      </c>
      <c r="E3" s="32" t="s">
        <v>70</v>
      </c>
      <c r="F3" s="32" t="s">
        <v>71</v>
      </c>
      <c r="G3" s="32" t="s">
        <v>192</v>
      </c>
      <c r="H3" s="32" t="s">
        <v>193</v>
      </c>
      <c r="I3" s="32" t="s">
        <v>194</v>
      </c>
      <c r="J3" s="32" t="s">
        <v>195</v>
      </c>
      <c r="K3" s="32" t="s">
        <v>196</v>
      </c>
      <c r="L3" s="32" t="s">
        <v>197</v>
      </c>
      <c r="M3" s="32" t="s">
        <v>198</v>
      </c>
      <c r="O3" s="32"/>
      <c r="P3" s="248"/>
      <c r="Q3" s="32"/>
      <c r="R3" s="28"/>
    </row>
    <row r="4" spans="1:18 16384:16384" x14ac:dyDescent="0.2">
      <c r="A4" s="13" t="s">
        <v>29</v>
      </c>
      <c r="B4" s="22">
        <f>'Purchased Power Model'!D150</f>
        <v>255035715.38461539</v>
      </c>
      <c r="C4" s="22">
        <f>'Purchased Power Model'!D151</f>
        <v>246901827.27272725</v>
      </c>
      <c r="D4" s="22">
        <f>'Purchased Power Model'!D152</f>
        <v>247681431.06060606</v>
      </c>
      <c r="E4" s="22">
        <f>'Purchased Power Model'!D153</f>
        <v>249772655.12820518</v>
      </c>
      <c r="F4" s="22">
        <f>'Purchased Power Model'!D154</f>
        <v>247718853.84615383</v>
      </c>
      <c r="G4" s="40">
        <f>'Purchased Power Model'!D155</f>
        <v>244970130.78000003</v>
      </c>
      <c r="H4" s="40">
        <f>'Purchased Power Model'!D156</f>
        <v>236059300</v>
      </c>
      <c r="I4" s="40">
        <f>'Purchased Power Model'!D157</f>
        <v>252552933.32999998</v>
      </c>
      <c r="J4" s="40">
        <f>'Purchased Power Model'!D158</f>
        <v>248931820</v>
      </c>
      <c r="K4" s="40">
        <f>'Purchased Power Model'!D159</f>
        <v>245634675.53</v>
      </c>
    </row>
    <row r="5" spans="1:18 16384:16384" x14ac:dyDescent="0.2">
      <c r="A5" s="13" t="s">
        <v>30</v>
      </c>
      <c r="B5" s="22">
        <f ca="1">'Purchased Power Model'!Q150</f>
        <v>252125150.38144356</v>
      </c>
      <c r="C5" s="22">
        <f ca="1">'Purchased Power Model'!Q151</f>
        <v>249341852.70784354</v>
      </c>
      <c r="D5" s="22">
        <f ca="1">'Purchased Power Model'!Q152</f>
        <v>248329418.26844943</v>
      </c>
      <c r="E5" s="22">
        <f ca="1">'Purchased Power Model'!Q153</f>
        <v>246548660.79881102</v>
      </c>
      <c r="F5" s="22">
        <f ca="1">'Purchased Power Model'!Q154</f>
        <v>245687749.55744377</v>
      </c>
      <c r="G5" s="40">
        <f ca="1">'Purchased Power Model'!Q155</f>
        <v>249823241.98640552</v>
      </c>
      <c r="H5" s="40">
        <f ca="1">'Purchased Power Model'!Q156</f>
        <v>240379578.94039673</v>
      </c>
      <c r="I5" s="40">
        <f ca="1">'Purchased Power Model'!Q157</f>
        <v>252751825.35728046</v>
      </c>
      <c r="J5" s="40">
        <f ca="1">'Purchased Power Model'!Q158</f>
        <v>245785974.14851943</v>
      </c>
      <c r="K5" s="40">
        <f ca="1">'Purchased Power Model'!Q159</f>
        <v>244448119.66369653</v>
      </c>
      <c r="L5" s="22">
        <f ca="1">'Purchased Power Model'!Q160</f>
        <v>247960299.06653896</v>
      </c>
      <c r="M5" s="22">
        <f ca="1">'Purchased Power Model'!Q161</f>
        <v>250543050.86693326</v>
      </c>
    </row>
    <row r="6" spans="1:18 16384:16384" x14ac:dyDescent="0.2">
      <c r="A6" s="13" t="s">
        <v>6</v>
      </c>
      <c r="B6" s="31">
        <f t="shared" ref="B6:I6" ca="1" si="0">(B5-B4)/B4</f>
        <v>-1.1412381982588022E-2</v>
      </c>
      <c r="C6" s="31">
        <f t="shared" ca="1" si="0"/>
        <v>9.8825734182236089E-3</v>
      </c>
      <c r="D6" s="31">
        <f t="shared" ca="1" si="0"/>
        <v>2.6162123057372234E-3</v>
      </c>
      <c r="E6" s="31">
        <f t="shared" ca="1" si="0"/>
        <v>-1.2907715329123302E-2</v>
      </c>
      <c r="F6" s="31">
        <f t="shared" ca="1" si="0"/>
        <v>-8.1992317386204213E-3</v>
      </c>
      <c r="G6" s="31">
        <f t="shared" ca="1" si="0"/>
        <v>1.9811032434660033E-2</v>
      </c>
      <c r="H6" s="31">
        <f t="shared" ca="1" si="0"/>
        <v>1.8301668014760384E-2</v>
      </c>
      <c r="I6" s="31">
        <f t="shared" ca="1" si="0"/>
        <v>7.8752610257983447E-4</v>
      </c>
      <c r="J6" s="31">
        <f ca="1">(J5-J4)/J4</f>
        <v>-1.2637379389587772E-2</v>
      </c>
      <c r="K6" s="31">
        <f ca="1">(K5-K4)/K4</f>
        <v>-4.8305715133389483E-3</v>
      </c>
      <c r="M6" s="34"/>
      <c r="N6" s="35"/>
      <c r="O6" s="24"/>
      <c r="P6" s="16"/>
      <c r="Q6" s="24"/>
    </row>
    <row r="7" spans="1:18 16384:16384" x14ac:dyDescent="0.2">
      <c r="A7" s="13"/>
      <c r="B7" s="28"/>
      <c r="C7" s="28"/>
      <c r="D7" s="28"/>
      <c r="E7" s="28"/>
      <c r="F7" s="28"/>
      <c r="G7" s="39"/>
      <c r="H7" s="39"/>
      <c r="I7" s="39"/>
      <c r="J7" s="39"/>
      <c r="K7" s="39"/>
    </row>
    <row r="8" spans="1:18 16384:16384" x14ac:dyDescent="0.2">
      <c r="A8" s="13" t="s">
        <v>32</v>
      </c>
      <c r="B8" s="22">
        <f>'Rate Class Energy Model'!G5</f>
        <v>242102870.40000001</v>
      </c>
      <c r="C8" s="22">
        <f>'Rate Class Energy Model'!G6</f>
        <v>233519428.58096856</v>
      </c>
      <c r="D8" s="22">
        <f>'Rate Class Energy Model'!G7</f>
        <v>229905666.55255783</v>
      </c>
      <c r="E8" s="22">
        <f>'Rate Class Energy Model'!G8</f>
        <v>239175688.31999999</v>
      </c>
      <c r="F8" s="22">
        <f>'Rate Class Energy Model'!G9</f>
        <v>246710163.71197462</v>
      </c>
      <c r="G8" s="40">
        <f>'Rate Class Energy Model'!G10</f>
        <v>238443209.43000001</v>
      </c>
      <c r="H8" s="40">
        <f>'Rate Class Energy Model'!G11</f>
        <v>219820869</v>
      </c>
      <c r="I8" s="40">
        <f>'Rate Class Energy Model'!G12</f>
        <v>246426600</v>
      </c>
      <c r="J8" s="40">
        <f>'Rate Class Energy Model'!G13</f>
        <v>242876721</v>
      </c>
      <c r="K8" s="40">
        <f>'Rate Class Energy Model'!G14</f>
        <v>229297247</v>
      </c>
      <c r="L8" s="22">
        <f ca="1">'Rate Class Energy Model'!G15</f>
        <v>237606139.84135252</v>
      </c>
      <c r="M8" s="22">
        <f ca="1">'Rate Class Energy Model'!G16</f>
        <v>240081042.83094487</v>
      </c>
    </row>
    <row r="9" spans="1:18 16384:16384" x14ac:dyDescent="0.2">
      <c r="A9" s="13"/>
      <c r="B9" s="28"/>
      <c r="C9" s="28"/>
      <c r="E9" s="16"/>
      <c r="F9" s="16"/>
    </row>
    <row r="10" spans="1:18 16384:16384" ht="15.75" x14ac:dyDescent="0.25">
      <c r="A10" s="30" t="s">
        <v>31</v>
      </c>
    </row>
    <row r="11" spans="1:18 16384:16384" x14ac:dyDescent="0.2">
      <c r="A11" s="29" t="str">
        <f>'Rate Class Energy Model'!H2</f>
        <v>Residential</v>
      </c>
    </row>
    <row r="12" spans="1:18 16384:16384" x14ac:dyDescent="0.2">
      <c r="A12" t="s">
        <v>24</v>
      </c>
      <c r="B12" s="6">
        <f ca="1">OFFSET('Rate Class Customer Model'!$B$2,COLUMN()-COLUMN($B$12),0)</f>
        <v>9934.2083333333303</v>
      </c>
      <c r="C12" s="6">
        <f ca="1">OFFSET('Rate Class Customer Model'!$B$2,COLUMN()-COLUMN($B$12),0)</f>
        <v>10011.125</v>
      </c>
      <c r="D12" s="6">
        <f ca="1">OFFSET('Rate Class Customer Model'!$B$2,COLUMN()-COLUMN($B$12),0)</f>
        <v>10085.125</v>
      </c>
      <c r="E12" s="6">
        <f ca="1">OFFSET('Rate Class Customer Model'!$B$2,COLUMN()-COLUMN($B$12),0)</f>
        <v>10156.79166666667</v>
      </c>
      <c r="F12" s="6">
        <f ca="1">OFFSET('Rate Class Customer Model'!$B$2,COLUMN()-COLUMN($B$12),0)</f>
        <v>10219.54166666667</v>
      </c>
      <c r="G12" s="6">
        <f ca="1">OFFSET('Rate Class Customer Model'!$B$2,COLUMN()-COLUMN($B$12),0)</f>
        <v>10279.91666666667</v>
      </c>
      <c r="H12" s="6">
        <f ca="1">OFFSET('Rate Class Customer Model'!$B$2,COLUMN()-COLUMN($B$12),0)</f>
        <v>10379.70833333333</v>
      </c>
      <c r="I12" s="6">
        <f ca="1">OFFSET('Rate Class Customer Model'!$B$2,COLUMN()-COLUMN($B$12),0)</f>
        <v>10510.125</v>
      </c>
      <c r="J12" s="6">
        <f ca="1">OFFSET('Rate Class Customer Model'!$B$2,COLUMN()-COLUMN($B$12),0)</f>
        <v>10635.375</v>
      </c>
      <c r="K12" s="6">
        <f ca="1">OFFSET('Rate Class Customer Model'!$B$2,COLUMN()-COLUMN($B$12),0)</f>
        <v>10782.70833333333</v>
      </c>
      <c r="L12" s="6">
        <f ca="1">OFFSET('Rate Class Customer Model'!$B$2,COLUMN()-COLUMN($B$12),0)</f>
        <v>10881.350831962012</v>
      </c>
      <c r="M12" s="6">
        <f ca="1">OFFSET('Rate Class Customer Model'!$B$2,COLUMN()-COLUMN($B$12),0)</f>
        <v>10980.895733051644</v>
      </c>
      <c r="O12" s="72"/>
      <c r="P12" s="88"/>
      <c r="Q12" s="71"/>
    </row>
    <row r="13" spans="1:18 16384:16384" x14ac:dyDescent="0.2">
      <c r="A13" t="s">
        <v>25</v>
      </c>
      <c r="B13" s="6">
        <f ca="1">OFFSET('Rate Class Energy Model'!$H$5,COLUMN()-COLUMN($B$13),0)</f>
        <v>91775630</v>
      </c>
      <c r="C13" s="6">
        <f ca="1">OFFSET('Rate Class Energy Model'!$H$5,COLUMN()-COLUMN($B$13),0)</f>
        <v>90281488</v>
      </c>
      <c r="D13" s="6">
        <f ca="1">OFFSET('Rate Class Energy Model'!$H$5,COLUMN()-COLUMN($B$13),0)</f>
        <v>88791227</v>
      </c>
      <c r="E13" s="6">
        <f ca="1">OFFSET('Rate Class Energy Model'!$H$5,COLUMN()-COLUMN($B$13),0)</f>
        <v>89130958</v>
      </c>
      <c r="F13" s="6">
        <f ca="1">OFFSET('Rate Class Energy Model'!$H$5,COLUMN()-COLUMN($B$13),0)</f>
        <v>90749018</v>
      </c>
      <c r="G13" s="6">
        <f ca="1">OFFSET('Rate Class Energy Model'!$H$5,COLUMN()-COLUMN($B$13),0)</f>
        <v>90966168</v>
      </c>
      <c r="H13" s="6">
        <f ca="1">OFFSET('Rate Class Energy Model'!$H$5,COLUMN()-COLUMN($B$13),0)</f>
        <v>86529650</v>
      </c>
      <c r="I13" s="6">
        <f ca="1">OFFSET('Rate Class Energy Model'!$H$5,COLUMN()-COLUMN($B$13),0)</f>
        <v>94517190</v>
      </c>
      <c r="J13" s="6">
        <f ca="1">OFFSET('Rate Class Energy Model'!$H$5,COLUMN()-COLUMN($B$13),0)</f>
        <v>92484567.999999985</v>
      </c>
      <c r="K13" s="6">
        <f ca="1">OFFSET('Rate Class Energy Model'!$H$5,COLUMN()-COLUMN($B$13),0)</f>
        <v>98305958</v>
      </c>
      <c r="L13" s="6">
        <f ca="1">'Rate Class Energy Model'!H42</f>
        <v>91655701.269563213</v>
      </c>
      <c r="M13" s="6">
        <f ca="1">'Rate Class Energy Model'!H43</f>
        <v>93507178.852956474</v>
      </c>
      <c r="O13" s="73"/>
      <c r="P13" s="88"/>
      <c r="Q13" s="71"/>
    </row>
    <row r="14" spans="1:18 16384:16384" x14ac:dyDescent="0.2">
      <c r="D14" s="35"/>
      <c r="E14" s="16"/>
      <c r="F14" s="16"/>
      <c r="M14" s="34"/>
    </row>
    <row r="15" spans="1:18 16384:16384" x14ac:dyDescent="0.2">
      <c r="A15" s="29" t="str">
        <f>'Rate Class Energy Model'!I2</f>
        <v>GS&lt;50</v>
      </c>
    </row>
    <row r="16" spans="1:18 16384:16384" x14ac:dyDescent="0.2">
      <c r="A16" t="s">
        <v>24</v>
      </c>
      <c r="B16" s="6">
        <f ca="1">OFFSET('Rate Class Customer Model'!$C$2,COLUMN()-COLUMN($B$16),0)</f>
        <v>1194.5833333333337</v>
      </c>
      <c r="C16" s="6">
        <f ca="1">OFFSET('Rate Class Customer Model'!$C$2,COLUMN()-COLUMN($B$16),0)</f>
        <v>1205.3333333333337</v>
      </c>
      <c r="D16" s="6">
        <f ca="1">OFFSET('Rate Class Customer Model'!$C$2,COLUMN()-COLUMN($B$16),0)</f>
        <v>1207.375</v>
      </c>
      <c r="E16" s="6">
        <f ca="1">OFFSET('Rate Class Customer Model'!$C$2,COLUMN()-COLUMN($B$16),0)</f>
        <v>1215.2083333333337</v>
      </c>
      <c r="F16" s="6">
        <f ca="1">OFFSET('Rate Class Customer Model'!$C$2,COLUMN()-COLUMN($B$16),0)</f>
        <v>1220.8333333333337</v>
      </c>
      <c r="G16" s="6">
        <f ca="1">OFFSET('Rate Class Customer Model'!$C$2,COLUMN()-COLUMN($B$16),0)</f>
        <v>1228.2083333333337</v>
      </c>
      <c r="H16" s="6">
        <f ca="1">OFFSET('Rate Class Customer Model'!$C$2,COLUMN()-COLUMN($B$16),0)</f>
        <v>1237.0833333333337</v>
      </c>
      <c r="I16" s="6">
        <f ca="1">OFFSET('Rate Class Customer Model'!$C$2,COLUMN()-COLUMN($B$16),0)</f>
        <v>1238</v>
      </c>
      <c r="J16" s="6">
        <f ca="1">OFFSET('Rate Class Customer Model'!$C$2,COLUMN()-COLUMN($B$16),0)</f>
        <v>1237.4583333333337</v>
      </c>
      <c r="K16" s="6">
        <f ca="1">OFFSET('Rate Class Customer Model'!$C$2,COLUMN()-COLUMN($B$16),0)</f>
        <v>1245.6666666666663</v>
      </c>
      <c r="L16" s="6">
        <f ca="1">OFFSET('Rate Class Customer Model'!$C$2,COLUMN()-COLUMN($B$16),0)</f>
        <v>1251.475760320297</v>
      </c>
      <c r="M16" s="6">
        <f ca="1">OFFSET('Rate Class Customer Model'!$C$2,COLUMN()-COLUMN($B$16),0)</f>
        <v>1257.3119443424666</v>
      </c>
      <c r="O16" s="72"/>
      <c r="P16" s="88"/>
      <c r="Q16" s="71"/>
    </row>
    <row r="17" spans="1:18" x14ac:dyDescent="0.2">
      <c r="A17" t="s">
        <v>25</v>
      </c>
      <c r="B17" s="6">
        <f ca="1">OFFSET('Rate Class Energy Model'!$I$5,COLUMN()-COLUMN($B$17),0)</f>
        <v>30635475</v>
      </c>
      <c r="C17" s="6">
        <f ca="1">OFFSET('Rate Class Energy Model'!$I$5,COLUMN()-COLUMN($B$17),0)</f>
        <v>29408826</v>
      </c>
      <c r="D17" s="6">
        <f ca="1">OFFSET('Rate Class Energy Model'!$I$5,COLUMN()-COLUMN($B$17),0)</f>
        <v>28921439</v>
      </c>
      <c r="E17" s="6">
        <f ca="1">OFFSET('Rate Class Energy Model'!$I$5,COLUMN()-COLUMN($B$17),0)</f>
        <v>29746584</v>
      </c>
      <c r="F17" s="6">
        <f ca="1">OFFSET('Rate Class Energy Model'!$I$5,COLUMN()-COLUMN($B$17),0)</f>
        <v>28622003</v>
      </c>
      <c r="G17" s="6">
        <f ca="1">OFFSET('Rate Class Energy Model'!$I$5,COLUMN()-COLUMN($B$17),0)</f>
        <v>28273982</v>
      </c>
      <c r="H17" s="6">
        <f ca="1">OFFSET('Rate Class Energy Model'!$I$5,COLUMN()-COLUMN($B$17),0)</f>
        <v>27228067</v>
      </c>
      <c r="I17" s="6">
        <f ca="1">OFFSET('Rate Class Energy Model'!$I$5,COLUMN()-COLUMN($B$17),0)</f>
        <v>28692745</v>
      </c>
      <c r="J17" s="6">
        <f ca="1">OFFSET('Rate Class Energy Model'!$I$5,COLUMN()-COLUMN($B$17),0)</f>
        <v>28348056</v>
      </c>
      <c r="K17" s="6">
        <f ca="1">OFFSET('Rate Class Energy Model'!$I$5,COLUMN()-COLUMN($B$17),0)</f>
        <v>26410288</v>
      </c>
      <c r="L17" s="6">
        <f ca="1">'Rate Class Energy Model'!I42</f>
        <v>27408854.836361811</v>
      </c>
      <c r="M17" s="6">
        <f ca="1">'Rate Class Energy Model'!I43</f>
        <v>27656662.932092071</v>
      </c>
      <c r="O17" s="73"/>
      <c r="P17" s="88"/>
      <c r="Q17" s="71"/>
    </row>
    <row r="18" spans="1:18" x14ac:dyDescent="0.2">
      <c r="D18" s="35"/>
      <c r="E18" s="16"/>
      <c r="F18" s="16"/>
      <c r="M18" s="34"/>
    </row>
    <row r="19" spans="1:18" x14ac:dyDescent="0.2">
      <c r="A19" s="29" t="str">
        <f>'Rate Class Energy Model'!J2</f>
        <v>GS&gt;50</v>
      </c>
      <c r="L19" s="6"/>
      <c r="M19" s="6"/>
    </row>
    <row r="20" spans="1:18" x14ac:dyDescent="0.2">
      <c r="A20" t="s">
        <v>24</v>
      </c>
      <c r="B20" s="6">
        <f ca="1">OFFSET('Rate Class Customer Model'!$D$2,COLUMN()-COLUMN($B$20),0)</f>
        <v>94.583333333333371</v>
      </c>
      <c r="C20" s="6">
        <f ca="1">OFFSET('Rate Class Customer Model'!$D$2,COLUMN()-COLUMN($B$20),0)</f>
        <v>88.916666666666629</v>
      </c>
      <c r="D20" s="6">
        <f ca="1">OFFSET('Rate Class Customer Model'!$D$2,COLUMN()-COLUMN($B$20),0)</f>
        <v>89.083333333333371</v>
      </c>
      <c r="E20" s="6">
        <f ca="1">OFFSET('Rate Class Customer Model'!$D$2,COLUMN()-COLUMN($B$20),0)</f>
        <v>90</v>
      </c>
      <c r="F20" s="6">
        <f ca="1">OFFSET('Rate Class Customer Model'!$D$2,COLUMN()-COLUMN($B$20),0)</f>
        <v>92.708333333333371</v>
      </c>
      <c r="G20" s="6">
        <f ca="1">OFFSET('Rate Class Customer Model'!$D$2,COLUMN()-COLUMN($B$20),0)</f>
        <v>93.916666666666629</v>
      </c>
      <c r="H20" s="6">
        <f ca="1">OFFSET('Rate Class Customer Model'!$D$2,COLUMN()-COLUMN($B$20),0)</f>
        <v>95.166666666666629</v>
      </c>
      <c r="I20" s="6">
        <f ca="1">OFFSET('Rate Class Customer Model'!$D$2,COLUMN()-COLUMN($B$20),0)</f>
        <v>95.375</v>
      </c>
      <c r="J20" s="6">
        <f ca="1">OFFSET('Rate Class Customer Model'!$D$2,COLUMN()-COLUMN($B$20),0)</f>
        <v>95.083333333333371</v>
      </c>
      <c r="K20" s="6">
        <f ca="1">OFFSET('Rate Class Customer Model'!$D$2,COLUMN()-COLUMN($B$20),0)</f>
        <v>97.083333333333371</v>
      </c>
      <c r="L20" s="6">
        <f ca="1">OFFSET('Rate Class Customer Model'!$D$2,COLUMN()-COLUMN($B$20),0)</f>
        <v>97.365158527751774</v>
      </c>
      <c r="M20" s="6">
        <f ca="1">OFFSET('Rate Class Customer Model'!$D$2,COLUMN()-COLUMN($B$20),0)</f>
        <v>97.647801838292494</v>
      </c>
      <c r="O20" s="72"/>
      <c r="P20" s="88"/>
      <c r="Q20" s="71"/>
    </row>
    <row r="21" spans="1:18" x14ac:dyDescent="0.2">
      <c r="A21" t="s">
        <v>25</v>
      </c>
      <c r="B21" s="6">
        <f ca="1">OFFSET('Rate Class Energy Model'!$J$5,COLUMN()-COLUMN($B$21),0)</f>
        <v>64324224</v>
      </c>
      <c r="C21" s="6">
        <f ca="1">OFFSET('Rate Class Energy Model'!$J$5,COLUMN()-COLUMN($B$21),0)</f>
        <v>60934472.188461378</v>
      </c>
      <c r="D21" s="6">
        <f ca="1">OFFSET('Rate Class Energy Model'!$J$5,COLUMN()-COLUMN($B$21),0)</f>
        <v>59427521.597267792</v>
      </c>
      <c r="E21" s="6">
        <f ca="1">OFFSET('Rate Class Energy Model'!$J$5,COLUMN()-COLUMN($B$21),0)</f>
        <v>57346380</v>
      </c>
      <c r="F21" s="6">
        <f ca="1">OFFSET('Rate Class Energy Model'!$J$5,COLUMN()-COLUMN($B$21),0)</f>
        <v>62304426.670519009</v>
      </c>
      <c r="G21" s="6">
        <f ca="1">OFFSET('Rate Class Energy Model'!$J$5,COLUMN()-COLUMN($B$21),0)</f>
        <v>59051959</v>
      </c>
      <c r="H21" s="6">
        <f ca="1">OFFSET('Rate Class Energy Model'!$J$5,COLUMN()-COLUMN($B$21),0)</f>
        <v>47449869.999999993</v>
      </c>
      <c r="I21" s="6">
        <f ca="1">OFFSET('Rate Class Energy Model'!$J$5,COLUMN()-COLUMN($B$21),0)</f>
        <v>59787962</v>
      </c>
      <c r="J21" s="6">
        <f ca="1">OFFSET('Rate Class Energy Model'!$J$5,COLUMN()-COLUMN($B$21),0)</f>
        <v>59632442</v>
      </c>
      <c r="K21" s="6">
        <f ca="1">OFFSET('Rate Class Energy Model'!$J$5,COLUMN()-COLUMN($B$21),0)</f>
        <v>52047649</v>
      </c>
      <c r="L21" s="6">
        <f ca="1">'Rate Class Energy Model'!J42</f>
        <v>59119624.275408983</v>
      </c>
      <c r="M21" s="6">
        <f ca="1">'Rate Class Energy Model'!J43</f>
        <v>59482525.257122323</v>
      </c>
      <c r="O21" s="73"/>
      <c r="Q21" s="71"/>
      <c r="R21" s="6"/>
    </row>
    <row r="22" spans="1:18" x14ac:dyDescent="0.2">
      <c r="A22" t="s">
        <v>26</v>
      </c>
      <c r="B22" s="6">
        <f ca="1">OFFSET('Rate Class Load Model'!$B$2,COLUMN()-COLUMN($B$22),0)</f>
        <v>195460.9</v>
      </c>
      <c r="C22" s="6">
        <f ca="1">OFFSET('Rate Class Load Model'!$B$2,COLUMN()-COLUMN($B$22),0)</f>
        <v>186873.8</v>
      </c>
      <c r="D22" s="6">
        <f ca="1">OFFSET('Rate Class Load Model'!$B$2,COLUMN()-COLUMN($B$22),0)</f>
        <v>181892.6</v>
      </c>
      <c r="E22" s="6">
        <f ca="1">OFFSET('Rate Class Load Model'!$B$2,COLUMN()-COLUMN($B$22),0)</f>
        <v>186325.9</v>
      </c>
      <c r="F22" s="6">
        <f ca="1">OFFSET('Rate Class Load Model'!$B$2,COLUMN()-COLUMN($B$22),0)</f>
        <v>195327.7</v>
      </c>
      <c r="G22" s="6">
        <f ca="1">OFFSET('Rate Class Load Model'!$B$2,COLUMN()-COLUMN($B$22),0)</f>
        <v>199544.7</v>
      </c>
      <c r="H22" s="6">
        <f ca="1">OFFSET('Rate Class Load Model'!$B$2,COLUMN()-COLUMN($B$22),0)</f>
        <v>170951.7</v>
      </c>
      <c r="I22" s="6">
        <f ca="1">OFFSET('Rate Class Load Model'!$B$2,COLUMN()-COLUMN($B$22),0)</f>
        <v>183114.09999999998</v>
      </c>
      <c r="J22" s="6">
        <f ca="1">OFFSET('Rate Class Load Model'!$B$2,COLUMN()-COLUMN($B$22),0)</f>
        <v>211571.90000000002</v>
      </c>
      <c r="K22" s="6">
        <f ca="1">OFFSET('Rate Class Load Model'!$B$2,COLUMN()-COLUMN($B$22),0)</f>
        <v>202255.6</v>
      </c>
      <c r="L22" s="6">
        <f ca="1">OFFSET('Rate Class Load Model'!$B$2,COLUMN()-COLUMN($B$22),0)</f>
        <v>197786.29357600864</v>
      </c>
      <c r="M22" s="6">
        <f ca="1">OFFSET('Rate Class Load Model'!$B$2,COLUMN()-COLUMN($B$22),0)</f>
        <v>199000.38857386931</v>
      </c>
      <c r="O22" s="73"/>
      <c r="P22" s="88"/>
      <c r="Q22" s="71"/>
      <c r="R22" s="6"/>
    </row>
    <row r="23" spans="1:18" x14ac:dyDescent="0.2">
      <c r="D23" s="35"/>
      <c r="E23" s="16"/>
      <c r="F23" s="16"/>
    </row>
    <row r="24" spans="1:18" x14ac:dyDescent="0.2">
      <c r="A24" s="29" t="str">
        <f>'Rate Class Energy Model'!K2</f>
        <v>Streetlights</v>
      </c>
      <c r="L24" s="6"/>
    </row>
    <row r="25" spans="1:18" x14ac:dyDescent="0.2">
      <c r="A25" t="s">
        <v>24</v>
      </c>
      <c r="B25" s="6">
        <f ca="1">OFFSET('Rate Class Customer Model'!$E$2,COLUMN()-COLUMN($B$12),0)</f>
        <v>2789.875</v>
      </c>
      <c r="C25" s="6">
        <f ca="1">OFFSET('Rate Class Customer Model'!$E$2,COLUMN()-COLUMN($B$12),0)</f>
        <v>2798.875</v>
      </c>
      <c r="D25" s="6">
        <f ca="1">OFFSET('Rate Class Customer Model'!$E$2,COLUMN()-COLUMN($B$12),0)</f>
        <v>2807.875</v>
      </c>
      <c r="E25" s="6">
        <f ca="1">OFFSET('Rate Class Customer Model'!$E$2,COLUMN()-COLUMN($B$12),0)</f>
        <v>2816.875</v>
      </c>
      <c r="F25" s="6">
        <f ca="1">OFFSET('Rate Class Customer Model'!$E$2,COLUMN()-COLUMN($B$12),0)</f>
        <v>2825.875</v>
      </c>
      <c r="G25" s="6">
        <f ca="1">OFFSET('Rate Class Customer Model'!$E$2,COLUMN()-COLUMN($B$12),0)</f>
        <v>2885.25</v>
      </c>
      <c r="H25" s="6">
        <f ca="1">OFFSET('Rate Class Customer Model'!$E$2,COLUMN()-COLUMN($B$12),0)</f>
        <v>2932</v>
      </c>
      <c r="I25" s="6">
        <f ca="1">OFFSET('Rate Class Customer Model'!$E$2,COLUMN()-COLUMN($B$12),0)</f>
        <v>2956.9166666666679</v>
      </c>
      <c r="J25" s="6">
        <f ca="1">OFFSET('Rate Class Customer Model'!$E$2,COLUMN()-COLUMN($B$12),0)</f>
        <v>2993.1666666666679</v>
      </c>
      <c r="K25" s="6">
        <f ca="1">OFFSET('Rate Class Customer Model'!$E$2,COLUMN()-COLUMN($B$12),0)</f>
        <v>3046.0833333333321</v>
      </c>
      <c r="L25" s="6">
        <f ca="1">OFFSET('Rate Class Customer Model'!$E$2,COLUMN()-COLUMN($B$12),0)</f>
        <v>3075.9654352079997</v>
      </c>
      <c r="M25" s="6">
        <f ca="1">OFFSET('Rate Class Customer Model'!$E$2,COLUMN()-COLUMN($B$12),0)</f>
        <v>3106.1406807411736</v>
      </c>
      <c r="O25" s="72"/>
      <c r="P25" s="88"/>
      <c r="Q25" s="71"/>
    </row>
    <row r="26" spans="1:18" x14ac:dyDescent="0.2">
      <c r="A26" t="s">
        <v>25</v>
      </c>
      <c r="B26" s="6">
        <f ca="1">OFFSET('Rate Class Energy Model'!$K$5,COLUMN()-COLUMN($B$13),0)</f>
        <v>2245234</v>
      </c>
      <c r="C26" s="6">
        <f ca="1">OFFSET('Rate Class Energy Model'!$K$5,COLUMN()-COLUMN($B$13),0)</f>
        <v>2346377.4925071769</v>
      </c>
      <c r="D26" s="6">
        <f ca="1">OFFSET('Rate Class Energy Model'!$K$5,COLUMN()-COLUMN($B$13),0)</f>
        <v>2512897.9552900312</v>
      </c>
      <c r="E26" s="6">
        <f ca="1">OFFSET('Rate Class Energy Model'!$K$5,COLUMN()-COLUMN($B$13),0)</f>
        <v>2302093</v>
      </c>
      <c r="F26" s="6">
        <f ca="1">OFFSET('Rate Class Energy Model'!$K$5,COLUMN()-COLUMN($B$13),0)</f>
        <v>2368288.5914556528</v>
      </c>
      <c r="G26" s="6">
        <f ca="1">OFFSET('Rate Class Energy Model'!$K$5,COLUMN()-COLUMN($B$13),0)</f>
        <v>1585584</v>
      </c>
      <c r="H26" s="6">
        <f ca="1">OFFSET('Rate Class Energy Model'!$K$5,COLUMN()-COLUMN($B$13),0)</f>
        <v>1361607</v>
      </c>
      <c r="I26" s="6">
        <f ca="1">OFFSET('Rate Class Energy Model'!$K$5,COLUMN()-COLUMN($B$13),0)</f>
        <v>1349349</v>
      </c>
      <c r="J26" s="6">
        <f ca="1">OFFSET('Rate Class Energy Model'!$K$5,COLUMN()-COLUMN($B$13),0)</f>
        <v>1353784</v>
      </c>
      <c r="K26" s="6">
        <f ca="1">OFFSET('Rate Class Energy Model'!$K$5,COLUMN()-COLUMN($B$13),0)</f>
        <v>1283668</v>
      </c>
      <c r="L26" s="6">
        <f ca="1">'Rate Class Energy Model'!K42</f>
        <v>1296260.7933518728</v>
      </c>
      <c r="M26" s="6">
        <f ca="1">'Rate Class Energy Model'!K43</f>
        <v>1308977.1221072949</v>
      </c>
      <c r="O26" s="73"/>
      <c r="Q26" s="71"/>
      <c r="R26" s="6"/>
    </row>
    <row r="27" spans="1:18" x14ac:dyDescent="0.2">
      <c r="A27" t="s">
        <v>26</v>
      </c>
      <c r="B27" s="6">
        <f ca="1">OFFSET('Rate Class Load Model'!$C$2,COLUMN()-COLUMN($B$27),0)</f>
        <v>5760</v>
      </c>
      <c r="C27" s="6">
        <f ca="1">OFFSET('Rate Class Load Model'!$C$2,COLUMN()-COLUMN($B$27),0)</f>
        <v>6353.7</v>
      </c>
      <c r="D27" s="6">
        <f ca="1">OFFSET('Rate Class Load Model'!$C$2,COLUMN()-COLUMN($B$27),0)</f>
        <v>6799.3</v>
      </c>
      <c r="E27" s="6">
        <f ca="1">OFFSET('Rate Class Load Model'!$C$2,COLUMN()-COLUMN($B$27),0)</f>
        <v>6450</v>
      </c>
      <c r="F27" s="6">
        <f ca="1">OFFSET('Rate Class Load Model'!$C$2,COLUMN()-COLUMN($B$27),0)</f>
        <v>6398.1</v>
      </c>
      <c r="G27" s="6">
        <f ca="1">OFFSET('Rate Class Load Model'!$C$2,COLUMN()-COLUMN($B$27),0)</f>
        <v>4764.1000000000004</v>
      </c>
      <c r="H27" s="6">
        <f ca="1">OFFSET('Rate Class Load Model'!$C$2,COLUMN()-COLUMN($B$27),0)</f>
        <v>3705.5</v>
      </c>
      <c r="I27" s="6">
        <f ca="1">OFFSET('Rate Class Load Model'!$C$2,COLUMN()-COLUMN($B$27),0)</f>
        <v>3920.2</v>
      </c>
      <c r="J27" s="6">
        <f ca="1">OFFSET('Rate Class Load Model'!$C$2,COLUMN()-COLUMN($B$27),0)</f>
        <v>3756.2</v>
      </c>
      <c r="K27" s="6">
        <f ca="1">OFFSET('Rate Class Load Model'!$C$2,COLUMN()-COLUMN($B$27),0)</f>
        <v>3927.6</v>
      </c>
      <c r="L27" s="6">
        <f ca="1">OFFSET('Rate Class Load Model'!$C$2,COLUMN()-COLUMN($B$27),0)</f>
        <v>3750.2293895492976</v>
      </c>
      <c r="M27" s="6">
        <f ca="1">OFFSET('Rate Class Load Model'!$C$2,COLUMN()-COLUMN($B$27),0)</f>
        <v>3787.01916987</v>
      </c>
      <c r="O27" s="73"/>
      <c r="P27" s="88"/>
      <c r="Q27" s="71"/>
      <c r="R27" s="101"/>
    </row>
    <row r="28" spans="1:18" x14ac:dyDescent="0.2">
      <c r="D28" s="35"/>
      <c r="E28" s="16"/>
      <c r="F28" s="16"/>
      <c r="M28" s="34"/>
    </row>
    <row r="29" spans="1:18" x14ac:dyDescent="0.2">
      <c r="A29" s="29" t="str">
        <f>'Rate Class Energy Model'!L2</f>
        <v>Unmetered Scattered Load</v>
      </c>
      <c r="L29" s="6"/>
      <c r="M29" s="6"/>
    </row>
    <row r="30" spans="1:18" x14ac:dyDescent="0.2">
      <c r="A30" t="s">
        <v>36</v>
      </c>
      <c r="B30" s="6">
        <f ca="1">OFFSET('Rate Class Customer Model'!$F$2,COLUMN()-COLUMN($B$12),0)</f>
        <v>32.458333333333321</v>
      </c>
      <c r="C30" s="6">
        <f ca="1">OFFSET('Rate Class Customer Model'!$F$2,COLUMN()-COLUMN($B$12),0)</f>
        <v>31.458333333333343</v>
      </c>
      <c r="D30" s="6">
        <f ca="1">OFFSET('Rate Class Customer Model'!$F$2,COLUMN()-COLUMN($B$12),0)</f>
        <v>31</v>
      </c>
      <c r="E30" s="6">
        <f ca="1">OFFSET('Rate Class Customer Model'!$F$2,COLUMN()-COLUMN($B$12),0)</f>
        <v>31</v>
      </c>
      <c r="F30" s="6">
        <f ca="1">OFFSET('Rate Class Customer Model'!$F$2,COLUMN()-COLUMN($B$12),0)</f>
        <v>31</v>
      </c>
      <c r="G30" s="6">
        <f ca="1">OFFSET('Rate Class Customer Model'!$F$2,COLUMN()-COLUMN($B$12),0)</f>
        <v>30.458333333333343</v>
      </c>
      <c r="H30" s="6">
        <f ca="1">OFFSET('Rate Class Customer Model'!$F$2,COLUMN()-COLUMN($B$12),0)</f>
        <v>30.541666666666657</v>
      </c>
      <c r="I30" s="6">
        <f ca="1">OFFSET('Rate Class Customer Model'!$F$2,COLUMN()-COLUMN($B$12),0)</f>
        <v>31.541666666666657</v>
      </c>
      <c r="J30" s="6">
        <f ca="1">OFFSET('Rate Class Customer Model'!$F$2,COLUMN()-COLUMN($B$12),0)</f>
        <v>32</v>
      </c>
      <c r="K30" s="6">
        <f ca="1">OFFSET('Rate Class Customer Model'!$F$2,COLUMN()-COLUMN($B$12),0)</f>
        <v>32</v>
      </c>
      <c r="L30" s="6">
        <f ca="1">OFFSET('Rate Class Customer Model'!$F$2,COLUMN()-COLUMN($B$12),0)</f>
        <v>32</v>
      </c>
      <c r="M30" s="6">
        <f ca="1">OFFSET('Rate Class Customer Model'!$F$2,COLUMN()-COLUMN($B$12),0)</f>
        <v>32</v>
      </c>
      <c r="O30" s="72"/>
      <c r="P30" s="88"/>
      <c r="Q30" s="71"/>
    </row>
    <row r="31" spans="1:18" x14ac:dyDescent="0.2">
      <c r="A31" t="s">
        <v>25</v>
      </c>
      <c r="B31" s="6">
        <f ca="1">OFFSET('Rate Class Energy Model'!$L$5,COLUMN()-COLUMN($B$13),0)</f>
        <v>201696</v>
      </c>
      <c r="C31" s="6">
        <f ca="1">OFFSET('Rate Class Energy Model'!$L$5,COLUMN()-COLUMN($B$13),0)</f>
        <v>262229</v>
      </c>
      <c r="D31" s="6">
        <f ca="1">OFFSET('Rate Class Energy Model'!$L$5,COLUMN()-COLUMN($B$13),0)</f>
        <v>260597</v>
      </c>
      <c r="E31" s="6">
        <f ca="1">OFFSET('Rate Class Energy Model'!$L$5,COLUMN()-COLUMN($B$13),0)</f>
        <v>259677</v>
      </c>
      <c r="F31" s="6">
        <f ca="1">OFFSET('Rate Class Energy Model'!$L$5,COLUMN()-COLUMN($B$13),0)</f>
        <v>259607</v>
      </c>
      <c r="G31" s="6">
        <f ca="1">OFFSET('Rate Class Energy Model'!$L$5,COLUMN()-COLUMN($B$13),0)</f>
        <v>257059</v>
      </c>
      <c r="H31" s="6">
        <f ca="1">OFFSET('Rate Class Energy Model'!$L$5,COLUMN()-COLUMN($B$13),0)</f>
        <v>255469</v>
      </c>
      <c r="I31" s="6">
        <f ca="1">OFFSET('Rate Class Energy Model'!$L$5,COLUMN()-COLUMN($B$13),0)</f>
        <v>249143</v>
      </c>
      <c r="J31" s="6">
        <f ca="1">OFFSET('Rate Class Energy Model'!$L$5,COLUMN()-COLUMN($B$13),0)</f>
        <v>246885</v>
      </c>
      <c r="K31" s="6">
        <f ca="1">OFFSET('Rate Class Energy Model'!$L$5,COLUMN()-COLUMN($B$13),0)</f>
        <v>248217</v>
      </c>
      <c r="L31" s="6">
        <f ca="1">'Rate Class Energy Model'!L42</f>
        <v>248217</v>
      </c>
      <c r="M31" s="6">
        <f ca="1">'Rate Class Energy Model'!L43</f>
        <v>248217</v>
      </c>
      <c r="O31" s="73"/>
      <c r="P31" s="88"/>
      <c r="Q31" s="71"/>
      <c r="R31" s="6"/>
    </row>
    <row r="32" spans="1:18" x14ac:dyDescent="0.2">
      <c r="B32" s="6"/>
      <c r="C32" s="6"/>
      <c r="D32" s="6"/>
      <c r="E32" s="6"/>
      <c r="F32" s="6"/>
      <c r="G32" s="20"/>
      <c r="H32" s="20"/>
      <c r="I32" s="20"/>
      <c r="K32" s="20"/>
      <c r="M32" s="6"/>
    </row>
    <row r="33" spans="1:18" x14ac:dyDescent="0.2">
      <c r="A33" s="29" t="str">
        <f>'Rate Class Energy Model'!M2</f>
        <v>Sentinel Lights</v>
      </c>
      <c r="L33" s="6"/>
      <c r="M33" s="6"/>
    </row>
    <row r="34" spans="1:18" x14ac:dyDescent="0.2">
      <c r="A34" t="s">
        <v>36</v>
      </c>
      <c r="B34" s="6">
        <f ca="1">OFFSET('Rate Class Customer Model'!$G$2,COLUMN()-COLUMN($B$12),0)</f>
        <v>7</v>
      </c>
      <c r="C34" s="6">
        <f ca="1">OFFSET('Rate Class Customer Model'!$G$2,COLUMN()-COLUMN($B$12),0)</f>
        <v>7</v>
      </c>
      <c r="D34" s="6">
        <f ca="1">OFFSET('Rate Class Customer Model'!$G$2,COLUMN()-COLUMN($B$12),0)</f>
        <v>7</v>
      </c>
      <c r="E34" s="6">
        <f ca="1">OFFSET('Rate Class Customer Model'!$G$2,COLUMN()-COLUMN($B$12),0)</f>
        <v>7</v>
      </c>
      <c r="F34" s="6">
        <f ca="1">OFFSET('Rate Class Customer Model'!$G$2,COLUMN()-COLUMN($B$12),0)</f>
        <v>7</v>
      </c>
      <c r="G34" s="6">
        <f ca="1">OFFSET('Rate Class Customer Model'!$G$2,COLUMN()-COLUMN($B$12),0)</f>
        <v>11.33333333333333</v>
      </c>
      <c r="H34" s="6">
        <f ca="1">OFFSET('Rate Class Customer Model'!$G$2,COLUMN()-COLUMN($B$12),0)</f>
        <v>16.083333333333332</v>
      </c>
      <c r="I34" s="6">
        <f ca="1">OFFSET('Rate Class Customer Model'!$G$2,COLUMN()-COLUMN($B$12),0)</f>
        <v>17</v>
      </c>
      <c r="J34" s="6">
        <f ca="1">OFFSET('Rate Class Customer Model'!$G$2,COLUMN()-COLUMN($B$12),0)</f>
        <v>17</v>
      </c>
      <c r="K34" s="6">
        <f ca="1">OFFSET('Rate Class Customer Model'!$G$2,COLUMN()-COLUMN($B$12),0)</f>
        <v>17</v>
      </c>
      <c r="L34" s="6">
        <f ca="1">OFFSET('Rate Class Customer Model'!$G$2,COLUMN()-COLUMN($B$12),0)</f>
        <v>17</v>
      </c>
      <c r="M34" s="6">
        <f ca="1">OFFSET('Rate Class Customer Model'!$G$2,COLUMN()-COLUMN($B$12),0)</f>
        <v>17</v>
      </c>
      <c r="O34" s="72"/>
      <c r="P34" s="88"/>
      <c r="Q34" s="71"/>
    </row>
    <row r="35" spans="1:18" x14ac:dyDescent="0.2">
      <c r="A35" t="s">
        <v>25</v>
      </c>
      <c r="B35" s="6">
        <f ca="1">OFFSET('Rate Class Energy Model'!$M$5,COLUMN()-COLUMN($B$13),0)</f>
        <v>180196</v>
      </c>
      <c r="C35" s="6">
        <f ca="1">OFFSET('Rate Class Energy Model'!$M$5,COLUMN()-COLUMN($B$13),0)</f>
        <v>174345</v>
      </c>
      <c r="D35" s="6">
        <f ca="1">OFFSET('Rate Class Energy Model'!$M$5,COLUMN()-COLUMN($B$13),0)</f>
        <v>180742</v>
      </c>
      <c r="E35" s="6">
        <f ca="1">OFFSET('Rate Class Energy Model'!$M$5,COLUMN()-COLUMN($B$13),0)</f>
        <v>178799</v>
      </c>
      <c r="F35" s="6">
        <f ca="1">OFFSET('Rate Class Energy Model'!$M$5,COLUMN()-COLUMN($B$13),0)</f>
        <v>162569</v>
      </c>
      <c r="G35" s="6">
        <f ca="1">OFFSET('Rate Class Energy Model'!$M$5,COLUMN()-COLUMN($B$13),0)</f>
        <v>153690</v>
      </c>
      <c r="H35" s="6">
        <f ca="1">OFFSET('Rate Class Energy Model'!$M$5,COLUMN()-COLUMN($B$13),0)</f>
        <v>152795</v>
      </c>
      <c r="I35" s="6">
        <f ca="1">OFFSET('Rate Class Energy Model'!$M$5,COLUMN()-COLUMN($B$13),0)</f>
        <v>149558</v>
      </c>
      <c r="J35" s="6">
        <f ca="1">OFFSET('Rate Class Energy Model'!$M$5,COLUMN()-COLUMN($B$13),0)</f>
        <v>144657</v>
      </c>
      <c r="K35" s="6">
        <f ca="1">OFFSET('Rate Class Energy Model'!$M$5,COLUMN()-COLUMN($B$13),0)</f>
        <v>141998</v>
      </c>
      <c r="L35" s="41">
        <f ca="1">'Rate Class Energy Model'!M42</f>
        <v>141998</v>
      </c>
      <c r="M35" s="41">
        <f ca="1">'Rate Class Energy Model'!M43</f>
        <v>141998</v>
      </c>
      <c r="O35" s="73"/>
      <c r="Q35" s="71"/>
      <c r="R35" s="6"/>
    </row>
    <row r="36" spans="1:18" x14ac:dyDescent="0.2">
      <c r="A36" t="s">
        <v>26</v>
      </c>
      <c r="B36" s="6">
        <f ca="1">OFFSET('Rate Class Load Model'!$D$2,COLUMN()-COLUMN($B$36),0)</f>
        <v>11.893937007874015</v>
      </c>
      <c r="C36" s="6">
        <f ca="1">OFFSET('Rate Class Load Model'!$D$2,COLUMN()-COLUMN($B$36),0)</f>
        <v>293.2</v>
      </c>
      <c r="D36" s="6">
        <f ca="1">OFFSET('Rate Class Load Model'!$D$2,COLUMN()-COLUMN($B$36),0)</f>
        <v>464.7</v>
      </c>
      <c r="E36" s="6">
        <f ca="1">OFFSET('Rate Class Load Model'!$D$2,COLUMN()-COLUMN($B$36),0)</f>
        <v>471.2</v>
      </c>
      <c r="F36" s="6">
        <f ca="1">OFFSET('Rate Class Load Model'!$D$2,COLUMN()-COLUMN($B$36),0)</f>
        <v>436.7</v>
      </c>
      <c r="G36" s="6">
        <f ca="1">OFFSET('Rate Class Load Model'!$D$2,COLUMN()-COLUMN($B$36),0)</f>
        <v>411</v>
      </c>
      <c r="H36" s="6">
        <f ca="1">OFFSET('Rate Class Load Model'!$D$2,COLUMN()-COLUMN($B$36),0)</f>
        <v>405</v>
      </c>
      <c r="I36" s="6">
        <f ca="1">OFFSET('Rate Class Load Model'!$D$2,COLUMN()-COLUMN($B$36),0)</f>
        <v>387</v>
      </c>
      <c r="J36" s="6">
        <f ca="1">OFFSET('Rate Class Load Model'!$D$2,COLUMN()-COLUMN($B$36),0)</f>
        <v>364.9</v>
      </c>
      <c r="K36" s="6">
        <f ca="1">OFFSET('Rate Class Load Model'!$D$2,COLUMN()-COLUMN($B$36),0)</f>
        <v>385.1</v>
      </c>
      <c r="L36" s="6">
        <f ca="1">OFFSET('Rate Class Load Model'!$D$2,COLUMN()-COLUMN($B$36),0)</f>
        <v>373.36892505516897</v>
      </c>
      <c r="M36" s="6">
        <f ca="1">OFFSET('Rate Class Load Model'!$D$2,COLUMN()-COLUMN($B$36),0)</f>
        <v>373.36892505516897</v>
      </c>
      <c r="O36" s="73"/>
      <c r="P36" s="88"/>
      <c r="Q36" s="71"/>
      <c r="R36" s="101"/>
    </row>
    <row r="37" spans="1:18" x14ac:dyDescent="0.2">
      <c r="B37" s="6"/>
      <c r="C37" s="6"/>
      <c r="D37" s="6"/>
      <c r="E37" s="6"/>
      <c r="F37" s="20"/>
      <c r="G37" s="6"/>
      <c r="H37" s="6"/>
      <c r="I37" s="6"/>
      <c r="K37" s="6"/>
      <c r="M37" s="6"/>
    </row>
    <row r="38" spans="1:18" x14ac:dyDescent="0.2">
      <c r="A38" s="29" t="str">
        <f>'Rate Class Energy Model'!N2</f>
        <v>Embedded Distributor</v>
      </c>
      <c r="B38" s="6"/>
      <c r="C38" s="6"/>
      <c r="D38" s="6"/>
      <c r="E38" s="6"/>
      <c r="F38" s="20"/>
      <c r="G38" s="6"/>
      <c r="H38" s="6"/>
      <c r="I38" s="6"/>
      <c r="J38" s="6"/>
      <c r="K38" s="6"/>
      <c r="L38" s="6"/>
      <c r="M38" s="6"/>
    </row>
    <row r="39" spans="1:18" x14ac:dyDescent="0.2">
      <c r="A39" t="s">
        <v>36</v>
      </c>
      <c r="B39" s="6">
        <f ca="1">OFFSET('Rate Class Customer Model'!$H$2,COLUMN()-COLUMN($B$12),0)</f>
        <v>4</v>
      </c>
      <c r="C39" s="6">
        <f ca="1">OFFSET('Rate Class Customer Model'!$H$2,COLUMN()-COLUMN($B$12),0)</f>
        <v>4</v>
      </c>
      <c r="D39" s="6">
        <f ca="1">OFFSET('Rate Class Customer Model'!$H$2,COLUMN()-COLUMN($B$12),0)</f>
        <v>4</v>
      </c>
      <c r="E39" s="6">
        <f ca="1">OFFSET('Rate Class Customer Model'!$H$2,COLUMN()-COLUMN($B$12),0)</f>
        <v>4.5416666666666652</v>
      </c>
      <c r="F39" s="6">
        <f ca="1">OFFSET('Rate Class Customer Model'!$H$2,COLUMN()-COLUMN($B$12),0)</f>
        <v>5</v>
      </c>
      <c r="G39" s="6">
        <f ca="1">OFFSET('Rate Class Customer Model'!$H$2,COLUMN()-COLUMN($B$12),0)</f>
        <v>5.5416666666666643</v>
      </c>
      <c r="H39" s="6">
        <f ca="1">OFFSET('Rate Class Customer Model'!$H$2,COLUMN()-COLUMN($B$12),0)</f>
        <v>6</v>
      </c>
      <c r="I39" s="6">
        <f ca="1">OFFSET('Rate Class Customer Model'!$H$2,COLUMN()-COLUMN($B$12),0)</f>
        <v>6</v>
      </c>
      <c r="J39" s="6">
        <f ca="1">OFFSET('Rate Class Customer Model'!$H$2,COLUMN()-COLUMN($B$12),0)</f>
        <v>6</v>
      </c>
      <c r="K39" s="6">
        <f ca="1">OFFSET('Rate Class Customer Model'!$H$2,COLUMN()-COLUMN($B$12),0)</f>
        <v>6</v>
      </c>
      <c r="L39" s="6">
        <f ca="1">OFFSET('Rate Class Customer Model'!$H$2,COLUMN()-COLUMN($B$12),0)</f>
        <v>6</v>
      </c>
      <c r="M39" s="6">
        <f ca="1">OFFSET('Rate Class Customer Model'!$H$2,COLUMN()-COLUMN($B$12),0)</f>
        <v>6</v>
      </c>
      <c r="O39" s="72"/>
      <c r="P39" s="88"/>
      <c r="Q39" s="71"/>
    </row>
    <row r="40" spans="1:18" x14ac:dyDescent="0.2">
      <c r="A40" t="s">
        <v>25</v>
      </c>
      <c r="B40" s="6">
        <f ca="1">OFFSET('Rate Class Energy Model'!$N$5,COLUMN()-COLUMN($B$13),0)</f>
        <v>52740415.399999999</v>
      </c>
      <c r="C40" s="6">
        <f ca="1">OFFSET('Rate Class Energy Model'!$N$5,COLUMN()-COLUMN($B$13),0)</f>
        <v>50111690.900000006</v>
      </c>
      <c r="D40" s="6">
        <f ca="1">OFFSET('Rate Class Energy Model'!$N$5,COLUMN()-COLUMN($B$13),0)</f>
        <v>49811242</v>
      </c>
      <c r="E40" s="6">
        <f ca="1">OFFSET('Rate Class Energy Model'!$N$5,COLUMN()-COLUMN($B$13),0)</f>
        <v>60211197.32</v>
      </c>
      <c r="F40" s="6">
        <f ca="1">OFFSET('Rate Class Energy Model'!$N$5,COLUMN()-COLUMN($B$13),0)</f>
        <v>62244251.450000003</v>
      </c>
      <c r="G40" s="6">
        <f ca="1">OFFSET('Rate Class Energy Model'!$N$5,COLUMN()-COLUMN($B$13),0)</f>
        <v>58154767.430000007</v>
      </c>
      <c r="H40" s="6">
        <f ca="1">OFFSET('Rate Class Energy Model'!$N$5,COLUMN()-COLUMN($B$13),0)</f>
        <v>56843411</v>
      </c>
      <c r="I40" s="6">
        <f ca="1">OFFSET('Rate Class Energy Model'!$N$5,COLUMN()-COLUMN($B$13),0)</f>
        <v>61680653</v>
      </c>
      <c r="J40" s="6">
        <f ca="1">OFFSET('Rate Class Energy Model'!$N$5,COLUMN()-COLUMN($B$13),0)</f>
        <v>60666329</v>
      </c>
      <c r="K40" s="6">
        <f ca="1">OFFSET('Rate Class Energy Model'!$N$5,COLUMN()-COLUMN($B$13),0)</f>
        <v>50859469</v>
      </c>
      <c r="L40" s="6">
        <f>'Rate Class Energy Model'!N38</f>
        <v>57735483.666666672</v>
      </c>
      <c r="M40" s="6">
        <f>'Rate Class Energy Model'!N39</f>
        <v>57735483.666666672</v>
      </c>
      <c r="O40" s="73"/>
      <c r="Q40" s="71"/>
      <c r="R40" s="6"/>
    </row>
    <row r="41" spans="1:18" x14ac:dyDescent="0.2">
      <c r="A41" t="s">
        <v>26</v>
      </c>
      <c r="B41" s="6">
        <f ca="1">OFFSET('Rate Class Load Model'!$E$2,COLUMN()-COLUMN($B$41),0)</f>
        <v>113910.59999999999</v>
      </c>
      <c r="C41" s="6">
        <f ca="1">OFFSET('Rate Class Load Model'!$E$2,COLUMN()-COLUMN($B$41),0)</f>
        <v>111193.80000000002</v>
      </c>
      <c r="D41" s="6">
        <f ca="1">OFFSET('Rate Class Load Model'!$E$2,COLUMN()-COLUMN($B$41),0)</f>
        <v>110634.70000000001</v>
      </c>
      <c r="E41" s="6">
        <f ca="1">OFFSET('Rate Class Load Model'!$E$2,COLUMN()-COLUMN($B$41),0)</f>
        <v>134312.81999999998</v>
      </c>
      <c r="F41" s="6">
        <f ca="1">OFFSET('Rate Class Load Model'!$E$2,COLUMN()-COLUMN($B$41),0)</f>
        <v>135969</v>
      </c>
      <c r="G41" s="6">
        <f ca="1">OFFSET('Rate Class Load Model'!$E$2,COLUMN()-COLUMN($B$41),0)</f>
        <v>132941.97</v>
      </c>
      <c r="H41" s="6">
        <f ca="1">OFFSET('Rate Class Load Model'!$E$2,COLUMN()-COLUMN($B$41),0)</f>
        <v>130521.77</v>
      </c>
      <c r="I41" s="6">
        <f ca="1">OFFSET('Rate Class Load Model'!$E$2,COLUMN()-COLUMN($B$41),0)</f>
        <v>145229</v>
      </c>
      <c r="J41" s="6">
        <f ca="1">OFFSET('Rate Class Load Model'!$E$2,COLUMN()-COLUMN($B$41),0)</f>
        <v>139223.70000000001</v>
      </c>
      <c r="K41" s="6">
        <f ca="1">OFFSET('Rate Class Load Model'!$E$2,COLUMN()-COLUMN($B$41),0)</f>
        <v>142149</v>
      </c>
      <c r="L41" s="6">
        <f ca="1">OFFSET('Rate Class Load Model'!$E$2,COLUMN()-COLUMN($B$41),0)</f>
        <v>138871.65621307146</v>
      </c>
      <c r="M41" s="6">
        <f ca="1">OFFSET('Rate Class Load Model'!$E$2,COLUMN()-COLUMN($B$41),0)</f>
        <v>138871.65621307146</v>
      </c>
      <c r="O41" s="73"/>
      <c r="P41" s="88"/>
      <c r="Q41" s="71"/>
      <c r="R41" s="101"/>
    </row>
    <row r="42" spans="1:18" x14ac:dyDescent="0.2">
      <c r="P42" s="89"/>
    </row>
    <row r="43" spans="1:18" x14ac:dyDescent="0.2">
      <c r="A43" s="29" t="s">
        <v>37</v>
      </c>
      <c r="B43" s="6"/>
      <c r="D43" s="6"/>
      <c r="E43" s="6"/>
      <c r="F43" s="6"/>
      <c r="G43" s="20"/>
      <c r="H43" s="20"/>
      <c r="I43" s="20"/>
      <c r="J43" s="20"/>
      <c r="K43" s="20"/>
    </row>
    <row r="44" spans="1:18" x14ac:dyDescent="0.2">
      <c r="A44" t="s">
        <v>28</v>
      </c>
      <c r="B44" s="6">
        <f ca="1">B12+B16+B20+B25+B30+B34+B39</f>
        <v>14056.708333333332</v>
      </c>
      <c r="C44" s="6">
        <f t="shared" ref="C44:M44" ca="1" si="1">C12+C16+C20+C25+C30+C34+C39</f>
        <v>14146.708333333334</v>
      </c>
      <c r="D44" s="6">
        <f t="shared" ca="1" si="1"/>
        <v>14231.458333333334</v>
      </c>
      <c r="E44" s="6">
        <f t="shared" ca="1" si="1"/>
        <v>14321.41666666667</v>
      </c>
      <c r="F44" s="6">
        <f t="shared" ca="1" si="1"/>
        <v>14401.958333333338</v>
      </c>
      <c r="G44" s="6">
        <f t="shared" ca="1" si="1"/>
        <v>14534.625000000004</v>
      </c>
      <c r="H44" s="6">
        <f t="shared" ca="1" si="1"/>
        <v>14696.58333333333</v>
      </c>
      <c r="I44" s="6">
        <f t="shared" ca="1" si="1"/>
        <v>14854.958333333334</v>
      </c>
      <c r="J44" s="6">
        <f t="shared" ca="1" si="1"/>
        <v>15016.083333333336</v>
      </c>
      <c r="K44" s="6">
        <f t="shared" ca="1" si="1"/>
        <v>15226.541666666662</v>
      </c>
      <c r="L44" s="6">
        <f t="shared" ca="1" si="1"/>
        <v>15361.157186018059</v>
      </c>
      <c r="M44" s="6">
        <f t="shared" ca="1" si="1"/>
        <v>15496.996159973578</v>
      </c>
      <c r="Q44" s="71"/>
    </row>
    <row r="45" spans="1:18" x14ac:dyDescent="0.2">
      <c r="A45" t="s">
        <v>25</v>
      </c>
      <c r="B45" s="6">
        <f t="shared" ref="B45:M45" ca="1" si="2">B13+B17+B21+B26+B31+B35+B40</f>
        <v>242102870.40000001</v>
      </c>
      <c r="C45" s="6">
        <f t="shared" ca="1" si="2"/>
        <v>233519428.58096856</v>
      </c>
      <c r="D45" s="6">
        <f t="shared" ca="1" si="2"/>
        <v>229905666.55255783</v>
      </c>
      <c r="E45" s="6">
        <f t="shared" ca="1" si="2"/>
        <v>239175688.31999999</v>
      </c>
      <c r="F45" s="6">
        <f t="shared" ca="1" si="2"/>
        <v>246710163.71197462</v>
      </c>
      <c r="G45" s="6">
        <f t="shared" ca="1" si="2"/>
        <v>238443209.43000001</v>
      </c>
      <c r="H45" s="6">
        <f t="shared" ca="1" si="2"/>
        <v>219820869</v>
      </c>
      <c r="I45" s="6">
        <f t="shared" ca="1" si="2"/>
        <v>246426600</v>
      </c>
      <c r="J45" s="6">
        <f t="shared" ca="1" si="2"/>
        <v>242876721</v>
      </c>
      <c r="K45" s="6">
        <f t="shared" ca="1" si="2"/>
        <v>229297247</v>
      </c>
      <c r="L45" s="6">
        <f t="shared" ca="1" si="2"/>
        <v>237606139.84135252</v>
      </c>
      <c r="M45" s="6">
        <f t="shared" ca="1" si="2"/>
        <v>240081042.83094484</v>
      </c>
      <c r="P45" s="74"/>
      <c r="Q45" s="78"/>
    </row>
    <row r="46" spans="1:18" x14ac:dyDescent="0.2">
      <c r="A46" t="s">
        <v>27</v>
      </c>
      <c r="B46" s="6">
        <f t="shared" ref="B46:I46" ca="1" si="3">B22+B27+B36+B41</f>
        <v>315143.39393700787</v>
      </c>
      <c r="C46" s="6">
        <f t="shared" ca="1" si="3"/>
        <v>304714.5</v>
      </c>
      <c r="D46" s="6">
        <f t="shared" ca="1" si="3"/>
        <v>299791.30000000005</v>
      </c>
      <c r="E46" s="6">
        <f t="shared" ca="1" si="3"/>
        <v>327559.92</v>
      </c>
      <c r="F46" s="6">
        <f t="shared" ca="1" si="3"/>
        <v>338131.5</v>
      </c>
      <c r="G46" s="6">
        <f t="shared" ca="1" si="3"/>
        <v>337661.77</v>
      </c>
      <c r="H46" s="6">
        <f t="shared" ca="1" si="3"/>
        <v>305583.97000000003</v>
      </c>
      <c r="I46" s="6">
        <f t="shared" ca="1" si="3"/>
        <v>332650.3</v>
      </c>
      <c r="J46" s="6">
        <f ca="1">J22+J27+J36+J41</f>
        <v>354916.70000000007</v>
      </c>
      <c r="K46" s="6">
        <f ca="1">K22+K27+K36+K41</f>
        <v>348717.30000000005</v>
      </c>
      <c r="L46" s="6">
        <f ca="1">L22+L27+L36+L41</f>
        <v>340781.54810368456</v>
      </c>
      <c r="M46" s="6">
        <f ca="1">M22+M27+M36+M41</f>
        <v>342032.43288186594</v>
      </c>
      <c r="N46" s="6"/>
      <c r="P46" s="49"/>
      <c r="Q46" s="71"/>
    </row>
    <row r="47" spans="1:18" x14ac:dyDescent="0.2">
      <c r="P47" s="75"/>
      <c r="Q47" s="71"/>
    </row>
    <row r="48" spans="1:18" x14ac:dyDescent="0.2">
      <c r="A48" s="29" t="s">
        <v>38</v>
      </c>
      <c r="L48" s="6"/>
      <c r="M48" s="6"/>
    </row>
    <row r="49" spans="1:18" x14ac:dyDescent="0.2">
      <c r="A49" t="s">
        <v>28</v>
      </c>
      <c r="B49" s="6">
        <f ca="1">OFFSET('Rate Class Customer Model'!$I$2,COLUMN()-COLUMN($B$12),0)</f>
        <v>14056.708333333332</v>
      </c>
      <c r="C49" s="6">
        <f ca="1">OFFSET('Rate Class Customer Model'!$I$2,COLUMN()-COLUMN($B$12),0)</f>
        <v>14146.708333333334</v>
      </c>
      <c r="D49" s="6">
        <f ca="1">OFFSET('Rate Class Customer Model'!$I$2,COLUMN()-COLUMN($B$12),0)</f>
        <v>14231.458333333334</v>
      </c>
      <c r="E49" s="6">
        <f ca="1">OFFSET('Rate Class Customer Model'!$I$2,COLUMN()-COLUMN($B$12),0)</f>
        <v>14321.41666666667</v>
      </c>
      <c r="F49" s="6">
        <f ca="1">OFFSET('Rate Class Customer Model'!$I$2,COLUMN()-COLUMN($B$12),0)</f>
        <v>14401.958333333338</v>
      </c>
      <c r="G49" s="6">
        <f ca="1">OFFSET('Rate Class Customer Model'!$I$2,COLUMN()-COLUMN($B$12),0)</f>
        <v>14534.625000000004</v>
      </c>
      <c r="H49" s="6">
        <f ca="1">OFFSET('Rate Class Customer Model'!$I$2,COLUMN()-COLUMN($B$12),0)</f>
        <v>14696.58333333333</v>
      </c>
      <c r="I49" s="6">
        <f ca="1">OFFSET('Rate Class Customer Model'!$I$2,COLUMN()-COLUMN($B$12),0)</f>
        <v>14854.958333333334</v>
      </c>
      <c r="J49" s="6">
        <f ca="1">OFFSET('Rate Class Customer Model'!$I$2,COLUMN()-COLUMN($B$12),0)</f>
        <v>15016.083333333336</v>
      </c>
      <c r="K49" s="6">
        <f ca="1">OFFSET('Rate Class Customer Model'!$I$2,COLUMN()-COLUMN($B$12),0)</f>
        <v>15226.541666666662</v>
      </c>
      <c r="L49" s="6">
        <f ca="1">OFFSET('Rate Class Customer Model'!$I$2,COLUMN()-COLUMN($B$12),0)</f>
        <v>15361.157186018059</v>
      </c>
      <c r="M49" s="6">
        <f ca="1">OFFSET('Rate Class Customer Model'!$I$2,COLUMN()-COLUMN($B$12),0)</f>
        <v>15496.996159973578</v>
      </c>
    </row>
    <row r="50" spans="1:18" x14ac:dyDescent="0.2">
      <c r="A50" t="s">
        <v>25</v>
      </c>
      <c r="B50" s="6">
        <f ca="1">OFFSET('Rate Class Energy Model'!$G$5,COLUMN()-COLUMN($B$13),0)</f>
        <v>242102870.40000001</v>
      </c>
      <c r="C50" s="6">
        <f ca="1">OFFSET('Rate Class Energy Model'!$G$5,COLUMN()-COLUMN($B$13),0)</f>
        <v>233519428.58096856</v>
      </c>
      <c r="D50" s="6">
        <f ca="1">OFFSET('Rate Class Energy Model'!$G$5,COLUMN()-COLUMN($B$13),0)</f>
        <v>229905666.55255783</v>
      </c>
      <c r="E50" s="6">
        <f ca="1">OFFSET('Rate Class Energy Model'!$G$5,COLUMN()-COLUMN($B$13),0)</f>
        <v>239175688.31999999</v>
      </c>
      <c r="F50" s="6">
        <f ca="1">OFFSET('Rate Class Energy Model'!$G$5,COLUMN()-COLUMN($B$13),0)</f>
        <v>246710163.71197462</v>
      </c>
      <c r="G50" s="6">
        <f ca="1">OFFSET('Rate Class Energy Model'!$G$5,COLUMN()-COLUMN($B$13),0)</f>
        <v>238443209.43000001</v>
      </c>
      <c r="H50" s="6">
        <f ca="1">OFFSET('Rate Class Energy Model'!$G$5,COLUMN()-COLUMN($B$13),0)</f>
        <v>219820869</v>
      </c>
      <c r="I50" s="6">
        <f ca="1">OFFSET('Rate Class Energy Model'!$G$5,COLUMN()-COLUMN($B$13),0)</f>
        <v>246426600</v>
      </c>
      <c r="J50" s="6">
        <f ca="1">OFFSET('Rate Class Energy Model'!$G$5,COLUMN()-COLUMN($B$13),0)</f>
        <v>242876721</v>
      </c>
      <c r="K50" s="6">
        <f ca="1">OFFSET('Rate Class Energy Model'!$G$5,COLUMN()-COLUMN($B$13),0)</f>
        <v>229297247</v>
      </c>
      <c r="L50" s="6">
        <f ca="1">OFFSET('Rate Class Energy Model'!$G$5,COLUMN()-COLUMN($B$13),0)</f>
        <v>237606139.84135252</v>
      </c>
      <c r="M50" s="6">
        <f ca="1">OFFSET('Rate Class Energy Model'!$G$5,COLUMN()-COLUMN($B$13),0)</f>
        <v>240081042.83094487</v>
      </c>
      <c r="R50" s="46"/>
    </row>
    <row r="51" spans="1:18" x14ac:dyDescent="0.2">
      <c r="A51" t="s">
        <v>27</v>
      </c>
      <c r="B51" s="6">
        <f ca="1">OFFSET('Rate Class Load Model'!$F$2,COLUMN()-COLUMN($B$51),0)</f>
        <v>315143.39393700787</v>
      </c>
      <c r="C51" s="6">
        <f ca="1">OFFSET('Rate Class Load Model'!$F$2,COLUMN()-COLUMN($B$51),0)</f>
        <v>304714.5</v>
      </c>
      <c r="D51" s="6">
        <f ca="1">OFFSET('Rate Class Load Model'!$F$2,COLUMN()-COLUMN($B$51),0)</f>
        <v>299791.30000000005</v>
      </c>
      <c r="E51" s="6">
        <f ca="1">OFFSET('Rate Class Load Model'!$F$2,COLUMN()-COLUMN($B$51),0)</f>
        <v>327559.92</v>
      </c>
      <c r="F51" s="6">
        <f ca="1">OFFSET('Rate Class Load Model'!$F$2,COLUMN()-COLUMN($B$51),0)</f>
        <v>338131.5</v>
      </c>
      <c r="G51" s="6">
        <f ca="1">OFFSET('Rate Class Load Model'!$F$2,COLUMN()-COLUMN($B$51),0)</f>
        <v>337661.77</v>
      </c>
      <c r="H51" s="6">
        <f ca="1">OFFSET('Rate Class Load Model'!$F$2,COLUMN()-COLUMN($B$51),0)</f>
        <v>305583.97000000003</v>
      </c>
      <c r="I51" s="6">
        <f ca="1">OFFSET('Rate Class Load Model'!$F$2,COLUMN()-COLUMN($B$51),0)</f>
        <v>332650.3</v>
      </c>
      <c r="J51" s="6">
        <f ca="1">OFFSET('Rate Class Load Model'!$F$2,COLUMN()-COLUMN($B$51),0)</f>
        <v>354916.70000000007</v>
      </c>
      <c r="K51" s="6">
        <f ca="1">OFFSET('Rate Class Load Model'!$F$2,COLUMN()-COLUMN($B$51),0)</f>
        <v>348717.30000000005</v>
      </c>
      <c r="L51" s="6">
        <f ca="1">OFFSET('Rate Class Load Model'!$F$2,COLUMN()-COLUMN($B$51),0)</f>
        <v>340781.54810368456</v>
      </c>
      <c r="M51" s="6">
        <f ca="1">OFFSET('Rate Class Load Model'!$F$2,COLUMN()-COLUMN($B$51),0)</f>
        <v>342032.43288186594</v>
      </c>
    </row>
    <row r="53" spans="1:18" x14ac:dyDescent="0.2">
      <c r="A53" s="29" t="s">
        <v>39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8" x14ac:dyDescent="0.2">
      <c r="A54" t="s">
        <v>28</v>
      </c>
      <c r="B54" s="6">
        <f t="shared" ref="B54:G54" ca="1" si="4">B44-B49</f>
        <v>0</v>
      </c>
      <c r="C54" s="6">
        <f t="shared" ca="1" si="4"/>
        <v>0</v>
      </c>
      <c r="D54" s="6">
        <f t="shared" ca="1" si="4"/>
        <v>0</v>
      </c>
      <c r="E54" s="6">
        <f t="shared" ca="1" si="4"/>
        <v>0</v>
      </c>
      <c r="F54" s="6">
        <f t="shared" ca="1" si="4"/>
        <v>0</v>
      </c>
      <c r="G54" s="6">
        <f t="shared" ca="1" si="4"/>
        <v>0</v>
      </c>
      <c r="H54" s="6">
        <f t="shared" ref="H54:M55" ca="1" si="5">H44-H49</f>
        <v>0</v>
      </c>
      <c r="I54" s="6">
        <f t="shared" ca="1" si="5"/>
        <v>0</v>
      </c>
      <c r="J54" s="6">
        <f t="shared" ca="1" si="5"/>
        <v>0</v>
      </c>
      <c r="K54" s="6">
        <f t="shared" ca="1" si="5"/>
        <v>0</v>
      </c>
      <c r="L54" s="6">
        <f t="shared" ca="1" si="5"/>
        <v>0</v>
      </c>
      <c r="M54" s="6">
        <f t="shared" ca="1" si="5"/>
        <v>0</v>
      </c>
      <c r="N54" s="6"/>
    </row>
    <row r="55" spans="1:18" x14ac:dyDescent="0.2">
      <c r="A55" t="s">
        <v>25</v>
      </c>
      <c r="B55" s="6">
        <f t="shared" ref="B55:I56" ca="1" si="6">B45-B50</f>
        <v>0</v>
      </c>
      <c r="C55" s="6">
        <f t="shared" ca="1" si="6"/>
        <v>0</v>
      </c>
      <c r="D55" s="6">
        <f t="shared" ca="1" si="6"/>
        <v>0</v>
      </c>
      <c r="E55" s="6">
        <f t="shared" ca="1" si="6"/>
        <v>0</v>
      </c>
      <c r="F55" s="6">
        <f t="shared" ca="1" si="6"/>
        <v>0</v>
      </c>
      <c r="G55" s="6">
        <f t="shared" ca="1" si="6"/>
        <v>0</v>
      </c>
      <c r="H55" s="6">
        <f t="shared" ca="1" si="5"/>
        <v>0</v>
      </c>
      <c r="I55" s="6">
        <f t="shared" ca="1" si="5"/>
        <v>0</v>
      </c>
      <c r="J55" s="6">
        <f t="shared" ca="1" si="5"/>
        <v>0</v>
      </c>
      <c r="K55" s="6">
        <f t="shared" ca="1" si="5"/>
        <v>0</v>
      </c>
      <c r="L55" s="6">
        <f t="shared" ca="1" si="5"/>
        <v>0</v>
      </c>
      <c r="M55" s="6">
        <f t="shared" ca="1" si="5"/>
        <v>0</v>
      </c>
      <c r="N55" s="6"/>
    </row>
    <row r="56" spans="1:18" x14ac:dyDescent="0.2">
      <c r="A56" t="s">
        <v>27</v>
      </c>
      <c r="B56" s="6">
        <f t="shared" ca="1" si="6"/>
        <v>0</v>
      </c>
      <c r="C56" s="6">
        <f t="shared" ca="1" si="6"/>
        <v>0</v>
      </c>
      <c r="D56" s="6">
        <f t="shared" ca="1" si="6"/>
        <v>0</v>
      </c>
      <c r="E56" s="6">
        <f t="shared" ca="1" si="6"/>
        <v>0</v>
      </c>
      <c r="F56" s="6">
        <f t="shared" ca="1" si="6"/>
        <v>0</v>
      </c>
      <c r="G56" s="6">
        <f t="shared" ca="1" si="6"/>
        <v>0</v>
      </c>
      <c r="H56" s="6">
        <f t="shared" ca="1" si="6"/>
        <v>0</v>
      </c>
      <c r="I56" s="6">
        <f t="shared" ca="1" si="6"/>
        <v>0</v>
      </c>
      <c r="J56" s="6">
        <f ca="1">J46-J51</f>
        <v>0</v>
      </c>
      <c r="K56" s="6">
        <f ca="1">K46-K51</f>
        <v>0</v>
      </c>
      <c r="L56" s="6">
        <f ca="1">L46-L51</f>
        <v>0</v>
      </c>
      <c r="M56" s="6">
        <f ca="1">M46-M51</f>
        <v>0</v>
      </c>
      <c r="N56" s="6"/>
    </row>
    <row r="58" spans="1:18" x14ac:dyDescent="0.2">
      <c r="B58" s="6">
        <f t="shared" ref="B58:J58" ca="1" si="7">B49-B39-B25+7+1</f>
        <v>11270.833333333332</v>
      </c>
      <c r="C58" s="6">
        <f t="shared" ca="1" si="7"/>
        <v>11351.833333333334</v>
      </c>
      <c r="D58" s="6">
        <f t="shared" ca="1" si="7"/>
        <v>11427.583333333334</v>
      </c>
      <c r="E58" s="6">
        <f t="shared" ca="1" si="7"/>
        <v>11508.000000000004</v>
      </c>
      <c r="F58" s="6">
        <f t="shared" ca="1" si="7"/>
        <v>11579.083333333338</v>
      </c>
      <c r="G58" s="6">
        <f t="shared" ca="1" si="7"/>
        <v>11651.833333333338</v>
      </c>
      <c r="H58" s="6">
        <f t="shared" ca="1" si="7"/>
        <v>11766.58333333333</v>
      </c>
      <c r="I58" s="6">
        <f t="shared" ca="1" si="7"/>
        <v>11900.041666666666</v>
      </c>
      <c r="J58" s="6">
        <f t="shared" ca="1" si="7"/>
        <v>12024.916666666668</v>
      </c>
      <c r="K58" s="6">
        <f t="shared" ref="K58:L58" ca="1" si="8">K49-K39-K25+7+1</f>
        <v>12182.45833333333</v>
      </c>
      <c r="L58" s="6">
        <f t="shared" ca="1" si="8"/>
        <v>12287.19175081006</v>
      </c>
      <c r="M58" s="6">
        <f ca="1">M49-M39-M25+7+1</f>
        <v>12392.855479232405</v>
      </c>
    </row>
    <row r="59" spans="1:18" x14ac:dyDescent="0.2">
      <c r="B59"/>
      <c r="C59"/>
      <c r="D59"/>
      <c r="E59"/>
      <c r="F59"/>
      <c r="G59"/>
      <c r="H59"/>
      <c r="I59"/>
      <c r="J59"/>
      <c r="K59"/>
      <c r="L59" s="112"/>
      <c r="M59" s="112"/>
      <c r="P59"/>
    </row>
    <row r="60" spans="1:18" x14ac:dyDescent="0.2">
      <c r="B60"/>
      <c r="C60"/>
      <c r="D60"/>
      <c r="E60"/>
      <c r="F60"/>
      <c r="G60"/>
      <c r="H60"/>
      <c r="I60"/>
      <c r="J60"/>
      <c r="K60"/>
      <c r="L60"/>
      <c r="M60" s="46"/>
      <c r="P60"/>
    </row>
    <row r="61" spans="1:18" x14ac:dyDescent="0.2">
      <c r="B61"/>
      <c r="C61"/>
      <c r="D61"/>
      <c r="E61"/>
      <c r="F61"/>
      <c r="G61"/>
      <c r="H61"/>
      <c r="I61"/>
      <c r="J61"/>
      <c r="K61"/>
      <c r="L61"/>
      <c r="M61"/>
      <c r="P61"/>
    </row>
    <row r="62" spans="1:18" x14ac:dyDescent="0.2">
      <c r="B62"/>
      <c r="C62"/>
      <c r="D62"/>
      <c r="E62"/>
      <c r="F62"/>
      <c r="G62"/>
      <c r="H62"/>
      <c r="I62"/>
      <c r="J62"/>
      <c r="K62"/>
      <c r="L62"/>
      <c r="M62"/>
      <c r="P62"/>
    </row>
    <row r="63" spans="1:18" x14ac:dyDescent="0.2">
      <c r="B63"/>
      <c r="C63"/>
      <c r="D63"/>
      <c r="E63"/>
      <c r="F63"/>
      <c r="G63"/>
      <c r="H63"/>
      <c r="I63"/>
      <c r="J63"/>
      <c r="K63"/>
      <c r="L63"/>
      <c r="M63"/>
      <c r="P63"/>
    </row>
    <row r="64" spans="1:18" x14ac:dyDescent="0.2">
      <c r="B64"/>
      <c r="C64"/>
      <c r="D64"/>
      <c r="E64"/>
      <c r="F64"/>
      <c r="G64"/>
      <c r="H64"/>
      <c r="I64"/>
      <c r="J64"/>
      <c r="K64"/>
      <c r="L64"/>
      <c r="M64"/>
      <c r="P64"/>
    </row>
    <row r="65" customFormat="1" x14ac:dyDescent="0.2"/>
    <row r="66" customFormat="1" x14ac:dyDescent="0.2"/>
    <row r="67" customFormat="1" x14ac:dyDescent="0.2"/>
    <row r="68" customFormat="1" x14ac:dyDescent="0.2"/>
  </sheetData>
  <phoneticPr fontId="0" type="noConversion"/>
  <pageMargins left="0.38" right="0.75" top="0.73" bottom="0.74" header="0.5" footer="0.5"/>
  <pageSetup scale="71" orientation="landscape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15A1-7CD4-4FF0-AABA-7049FECE9A93}">
  <sheetPr codeName="Sheet10"/>
  <dimension ref="A1:AO246"/>
  <sheetViews>
    <sheetView topLeftCell="A121" workbookViewId="0">
      <selection activeCell="J24" sqref="J24"/>
    </sheetView>
  </sheetViews>
  <sheetFormatPr defaultRowHeight="12.75" x14ac:dyDescent="0.2"/>
  <cols>
    <col min="1" max="2" width="12" customWidth="1"/>
    <col min="3" max="3" width="3" bestFit="1" customWidth="1"/>
    <col min="4" max="4" width="14" style="109" bestFit="1" customWidth="1"/>
    <col min="5" max="6" width="12.85546875" bestFit="1" customWidth="1"/>
    <col min="7" max="7" width="13" customWidth="1"/>
    <col min="8" max="8" width="14" bestFit="1" customWidth="1"/>
    <col min="9" max="9" width="15" bestFit="1" customWidth="1"/>
    <col min="10" max="10" width="14.140625" bestFit="1" customWidth="1"/>
    <col min="11" max="19" width="14" bestFit="1" customWidth="1"/>
    <col min="20" max="20" width="15" bestFit="1" customWidth="1"/>
  </cols>
  <sheetData>
    <row r="1" spans="1:12" x14ac:dyDescent="0.2">
      <c r="D1" s="109" t="s">
        <v>0</v>
      </c>
      <c r="E1" t="s">
        <v>79</v>
      </c>
    </row>
    <row r="2" spans="1:12" x14ac:dyDescent="0.2">
      <c r="A2" s="110">
        <v>38718</v>
      </c>
      <c r="B2" s="120">
        <f>YEAR(A2)</f>
        <v>2006</v>
      </c>
      <c r="C2" s="120">
        <f>MONTH(A2)</f>
        <v>1</v>
      </c>
      <c r="D2" s="98">
        <v>17495990</v>
      </c>
      <c r="E2" s="98">
        <v>0</v>
      </c>
      <c r="I2" t="s">
        <v>4</v>
      </c>
      <c r="J2" t="s">
        <v>210</v>
      </c>
      <c r="K2" t="s">
        <v>212</v>
      </c>
      <c r="L2" t="s">
        <v>211</v>
      </c>
    </row>
    <row r="3" spans="1:12" x14ac:dyDescent="0.2">
      <c r="A3" s="110">
        <v>38749</v>
      </c>
      <c r="B3" s="120">
        <f t="shared" ref="B3:B66" si="0">YEAR(A3)</f>
        <v>2006</v>
      </c>
      <c r="C3" s="120">
        <f t="shared" ref="C3:C66" si="1">MONTH(A3)</f>
        <v>2</v>
      </c>
      <c r="D3" s="98">
        <v>16164900</v>
      </c>
      <c r="E3" s="98">
        <v>0</v>
      </c>
      <c r="H3">
        <v>2007</v>
      </c>
      <c r="I3" s="109">
        <f>SUMIFS(D:D,B:B,H3)</f>
        <v>271076220</v>
      </c>
      <c r="J3" s="109">
        <f>SUMIFS(E:E,B:B,H3)</f>
        <v>67668263.699560001</v>
      </c>
    </row>
    <row r="4" spans="1:12" x14ac:dyDescent="0.2">
      <c r="A4" s="110">
        <v>38777</v>
      </c>
      <c r="B4" s="120">
        <f t="shared" si="0"/>
        <v>2006</v>
      </c>
      <c r="C4" s="120">
        <f t="shared" si="1"/>
        <v>3</v>
      </c>
      <c r="D4" s="98">
        <v>17164270</v>
      </c>
      <c r="E4" s="98">
        <v>0</v>
      </c>
      <c r="H4">
        <f>1+H3</f>
        <v>2008</v>
      </c>
      <c r="I4" s="109">
        <f t="shared" ref="I4:I16" si="2">SUMIFS(D:D,B:B,H4)</f>
        <v>262640600</v>
      </c>
      <c r="J4" s="109">
        <f t="shared" ref="J4:J16" si="3">SUMIFS(E:E,B:B,H4)</f>
        <v>59308823.634319998</v>
      </c>
    </row>
    <row r="5" spans="1:12" x14ac:dyDescent="0.2">
      <c r="A5" s="110">
        <v>38808</v>
      </c>
      <c r="B5" s="120">
        <f t="shared" si="0"/>
        <v>2006</v>
      </c>
      <c r="C5" s="120">
        <f t="shared" si="1"/>
        <v>4</v>
      </c>
      <c r="D5" s="98">
        <v>14641220</v>
      </c>
      <c r="E5" s="98">
        <v>0</v>
      </c>
      <c r="H5">
        <f t="shared" ref="H5:H16" si="4">1+H4</f>
        <v>2009</v>
      </c>
      <c r="I5" s="109">
        <f t="shared" si="2"/>
        <v>248858578.46153846</v>
      </c>
      <c r="J5" s="109">
        <f t="shared" si="3"/>
        <v>55236695.207400002</v>
      </c>
    </row>
    <row r="6" spans="1:12" x14ac:dyDescent="0.2">
      <c r="A6" s="110">
        <v>38838</v>
      </c>
      <c r="B6" s="120">
        <f t="shared" si="0"/>
        <v>2006</v>
      </c>
      <c r="C6" s="120">
        <f t="shared" si="1"/>
        <v>5</v>
      </c>
      <c r="D6" s="98">
        <v>13901070</v>
      </c>
      <c r="E6" s="98">
        <v>0</v>
      </c>
      <c r="H6">
        <f t="shared" si="4"/>
        <v>2010</v>
      </c>
      <c r="I6" s="109">
        <f t="shared" si="2"/>
        <v>261284907.69230774</v>
      </c>
      <c r="J6" s="109">
        <f t="shared" si="3"/>
        <v>51990020.780299999</v>
      </c>
    </row>
    <row r="7" spans="1:12" x14ac:dyDescent="0.2">
      <c r="A7" s="110">
        <v>38869</v>
      </c>
      <c r="B7" s="120">
        <f t="shared" si="0"/>
        <v>2006</v>
      </c>
      <c r="C7" s="120">
        <f t="shared" si="1"/>
        <v>6</v>
      </c>
      <c r="D7" s="98">
        <v>17912530</v>
      </c>
      <c r="E7" s="98">
        <v>0</v>
      </c>
      <c r="H7">
        <f t="shared" si="4"/>
        <v>2011</v>
      </c>
      <c r="I7" s="109">
        <f t="shared" si="2"/>
        <v>255035715.38461539</v>
      </c>
      <c r="J7" s="109">
        <f t="shared" si="3"/>
        <v>57012389.047399998</v>
      </c>
    </row>
    <row r="8" spans="1:12" x14ac:dyDescent="0.2">
      <c r="A8" s="110">
        <v>38899</v>
      </c>
      <c r="B8" s="120">
        <f t="shared" si="0"/>
        <v>2006</v>
      </c>
      <c r="C8" s="120">
        <f t="shared" si="1"/>
        <v>7</v>
      </c>
      <c r="D8" s="98">
        <v>22524750</v>
      </c>
      <c r="E8" s="98">
        <v>0</v>
      </c>
      <c r="H8">
        <f t="shared" si="4"/>
        <v>2012</v>
      </c>
      <c r="I8" s="109">
        <f t="shared" si="2"/>
        <v>246901827.27272725</v>
      </c>
      <c r="J8" s="109">
        <f t="shared" si="3"/>
        <v>54170737.862899989</v>
      </c>
    </row>
    <row r="9" spans="1:12" x14ac:dyDescent="0.2">
      <c r="A9" s="110">
        <v>38930</v>
      </c>
      <c r="B9" s="120">
        <f t="shared" si="0"/>
        <v>2006</v>
      </c>
      <c r="C9" s="120">
        <f t="shared" si="1"/>
        <v>8</v>
      </c>
      <c r="D9" s="98">
        <v>21130000</v>
      </c>
      <c r="E9" s="98">
        <v>0</v>
      </c>
      <c r="H9">
        <f t="shared" si="4"/>
        <v>2013</v>
      </c>
      <c r="I9" s="109">
        <f t="shared" si="2"/>
        <v>247681431.06060606</v>
      </c>
      <c r="J9" s="109">
        <f t="shared" si="3"/>
        <v>53845952.601999983</v>
      </c>
    </row>
    <row r="10" spans="1:12" x14ac:dyDescent="0.2">
      <c r="A10" s="110">
        <v>38961</v>
      </c>
      <c r="B10" s="120">
        <f t="shared" si="0"/>
        <v>2006</v>
      </c>
      <c r="C10" s="120">
        <f t="shared" si="1"/>
        <v>9</v>
      </c>
      <c r="D10" s="98">
        <v>15286330</v>
      </c>
      <c r="E10" s="98">
        <v>0</v>
      </c>
      <c r="H10">
        <f t="shared" si="4"/>
        <v>2014</v>
      </c>
      <c r="I10" s="109">
        <f t="shared" si="2"/>
        <v>249772655.12820518</v>
      </c>
      <c r="J10" s="109">
        <f t="shared" si="3"/>
        <v>65088304.302919991</v>
      </c>
    </row>
    <row r="11" spans="1:12" x14ac:dyDescent="0.2">
      <c r="A11" s="110">
        <v>38991</v>
      </c>
      <c r="B11" s="120">
        <f t="shared" si="0"/>
        <v>2006</v>
      </c>
      <c r="C11" s="120">
        <f t="shared" si="1"/>
        <v>10</v>
      </c>
      <c r="D11" s="98">
        <v>15621710</v>
      </c>
      <c r="E11" s="98">
        <v>0</v>
      </c>
      <c r="H11">
        <f t="shared" si="4"/>
        <v>2015</v>
      </c>
      <c r="I11" s="109">
        <f t="shared" si="2"/>
        <v>247718853.84615383</v>
      </c>
      <c r="J11" s="109">
        <f t="shared" si="3"/>
        <v>67286035.817450002</v>
      </c>
    </row>
    <row r="12" spans="1:12" x14ac:dyDescent="0.2">
      <c r="A12" s="110">
        <v>39022</v>
      </c>
      <c r="B12" s="120">
        <f t="shared" si="0"/>
        <v>2006</v>
      </c>
      <c r="C12" s="120">
        <f t="shared" si="1"/>
        <v>11</v>
      </c>
      <c r="D12" s="98">
        <v>19270390</v>
      </c>
      <c r="E12" s="98">
        <v>0</v>
      </c>
      <c r="H12">
        <f t="shared" si="4"/>
        <v>2016</v>
      </c>
      <c r="I12" s="109">
        <f t="shared" si="2"/>
        <v>244970130.78000003</v>
      </c>
      <c r="J12" s="109">
        <f t="shared" si="3"/>
        <v>62865303.59183</v>
      </c>
    </row>
    <row r="13" spans="1:12" x14ac:dyDescent="0.2">
      <c r="A13" s="110">
        <v>39052</v>
      </c>
      <c r="B13" s="120">
        <f t="shared" si="0"/>
        <v>2006</v>
      </c>
      <c r="C13" s="120">
        <f t="shared" si="1"/>
        <v>12</v>
      </c>
      <c r="D13" s="98">
        <v>22725770</v>
      </c>
      <c r="E13" s="98">
        <v>0</v>
      </c>
      <c r="H13">
        <f t="shared" si="4"/>
        <v>2017</v>
      </c>
      <c r="I13" s="109">
        <f t="shared" si="2"/>
        <v>236059300</v>
      </c>
      <c r="J13" s="109">
        <f t="shared" si="3"/>
        <v>60671755.439199992</v>
      </c>
      <c r="K13" s="109">
        <v>56843411</v>
      </c>
      <c r="L13" s="112">
        <f>J13/K13-1</f>
        <v>6.7348956930117998E-2</v>
      </c>
    </row>
    <row r="14" spans="1:12" x14ac:dyDescent="0.2">
      <c r="A14" s="110">
        <v>39083</v>
      </c>
      <c r="B14" s="120">
        <f t="shared" si="0"/>
        <v>2007</v>
      </c>
      <c r="C14" s="120">
        <f t="shared" si="1"/>
        <v>1</v>
      </c>
      <c r="D14" s="82">
        <v>23594230</v>
      </c>
      <c r="E14" s="82">
        <v>5640928.8553600004</v>
      </c>
      <c r="H14">
        <f t="shared" si="4"/>
        <v>2018</v>
      </c>
      <c r="I14" s="109">
        <f t="shared" si="2"/>
        <v>252552933.32999998</v>
      </c>
      <c r="J14" s="109">
        <f t="shared" si="3"/>
        <v>67031214.95206999</v>
      </c>
      <c r="K14" s="109">
        <v>61680653</v>
      </c>
      <c r="L14" s="112">
        <f t="shared" ref="L14:L16" si="5">J14/K14-1</f>
        <v>8.6746194987105341E-2</v>
      </c>
    </row>
    <row r="15" spans="1:12" x14ac:dyDescent="0.2">
      <c r="A15" s="110">
        <v>39114</v>
      </c>
      <c r="B15" s="120">
        <f t="shared" si="0"/>
        <v>2007</v>
      </c>
      <c r="C15" s="120">
        <f t="shared" si="1"/>
        <v>2</v>
      </c>
      <c r="D15" s="82">
        <v>23081780</v>
      </c>
      <c r="E15" s="82">
        <v>5726856.6157</v>
      </c>
      <c r="H15">
        <f t="shared" si="4"/>
        <v>2019</v>
      </c>
      <c r="I15" s="109">
        <f t="shared" si="2"/>
        <v>248931820</v>
      </c>
      <c r="J15" s="109">
        <f t="shared" si="3"/>
        <v>65933188.758859992</v>
      </c>
      <c r="K15" s="109">
        <v>60666329</v>
      </c>
      <c r="L15" s="112">
        <f t="shared" si="5"/>
        <v>8.6816852868417227E-2</v>
      </c>
    </row>
    <row r="16" spans="1:12" x14ac:dyDescent="0.2">
      <c r="A16" s="110">
        <v>39142</v>
      </c>
      <c r="B16" s="120">
        <f t="shared" si="0"/>
        <v>2007</v>
      </c>
      <c r="C16" s="120">
        <f t="shared" si="1"/>
        <v>3</v>
      </c>
      <c r="D16" s="82">
        <v>22044680</v>
      </c>
      <c r="E16" s="82">
        <v>5870658.413540001</v>
      </c>
      <c r="H16">
        <f t="shared" si="4"/>
        <v>2020</v>
      </c>
      <c r="I16" s="109">
        <f t="shared" si="2"/>
        <v>245634675.53</v>
      </c>
      <c r="J16" s="109">
        <f t="shared" si="3"/>
        <v>62733185.51224</v>
      </c>
      <c r="K16" s="109">
        <v>50859469</v>
      </c>
      <c r="L16" s="112">
        <f t="shared" si="5"/>
        <v>0.23346127566215835</v>
      </c>
    </row>
    <row r="17" spans="1:5" x14ac:dyDescent="0.2">
      <c r="A17" s="110">
        <v>39173</v>
      </c>
      <c r="B17" s="120">
        <f t="shared" si="0"/>
        <v>2007</v>
      </c>
      <c r="C17" s="120">
        <f t="shared" si="1"/>
        <v>4</v>
      </c>
      <c r="D17" s="82">
        <v>19604320</v>
      </c>
      <c r="E17" s="82">
        <v>6324876.1716799997</v>
      </c>
    </row>
    <row r="18" spans="1:5" x14ac:dyDescent="0.2">
      <c r="A18" s="110">
        <v>39203</v>
      </c>
      <c r="B18" s="120">
        <f t="shared" si="0"/>
        <v>2007</v>
      </c>
      <c r="C18" s="120">
        <f t="shared" si="1"/>
        <v>5</v>
      </c>
      <c r="D18" s="82">
        <v>20629530</v>
      </c>
      <c r="E18" s="82">
        <v>6479920.0236</v>
      </c>
    </row>
    <row r="19" spans="1:5" x14ac:dyDescent="0.2">
      <c r="A19" s="110">
        <v>39234</v>
      </c>
      <c r="B19" s="120">
        <f t="shared" si="0"/>
        <v>2007</v>
      </c>
      <c r="C19" s="120">
        <f t="shared" si="1"/>
        <v>6</v>
      </c>
      <c r="D19" s="82">
        <v>23858190</v>
      </c>
      <c r="E19" s="82">
        <v>6947011.5188399991</v>
      </c>
    </row>
    <row r="20" spans="1:5" x14ac:dyDescent="0.2">
      <c r="A20" s="110">
        <v>39264</v>
      </c>
      <c r="B20" s="120">
        <f t="shared" si="0"/>
        <v>2007</v>
      </c>
      <c r="C20" s="120">
        <f t="shared" si="1"/>
        <v>7</v>
      </c>
      <c r="D20" s="82">
        <v>24738400</v>
      </c>
      <c r="E20" s="82">
        <v>4986922.7311199997</v>
      </c>
    </row>
    <row r="21" spans="1:5" x14ac:dyDescent="0.2">
      <c r="A21" s="110">
        <v>39295</v>
      </c>
      <c r="B21" s="120">
        <f t="shared" si="0"/>
        <v>2007</v>
      </c>
      <c r="C21" s="120">
        <f t="shared" si="1"/>
        <v>8</v>
      </c>
      <c r="D21" s="82">
        <v>26868930</v>
      </c>
      <c r="E21" s="82">
        <v>5337196.0046000006</v>
      </c>
    </row>
    <row r="22" spans="1:5" x14ac:dyDescent="0.2">
      <c r="A22" s="110">
        <v>39326</v>
      </c>
      <c r="B22" s="120">
        <f t="shared" si="0"/>
        <v>2007</v>
      </c>
      <c r="C22" s="120">
        <f t="shared" si="1"/>
        <v>9</v>
      </c>
      <c r="D22" s="82">
        <v>21805090</v>
      </c>
      <c r="E22" s="82">
        <v>5816997.7248800006</v>
      </c>
    </row>
    <row r="23" spans="1:5" x14ac:dyDescent="0.2">
      <c r="A23" s="110">
        <v>39356</v>
      </c>
      <c r="B23" s="120">
        <f t="shared" si="0"/>
        <v>2007</v>
      </c>
      <c r="C23" s="120">
        <f t="shared" si="1"/>
        <v>10</v>
      </c>
      <c r="D23" s="82">
        <v>20415380</v>
      </c>
      <c r="E23" s="82">
        <v>4576724.3739799997</v>
      </c>
    </row>
    <row r="24" spans="1:5" x14ac:dyDescent="0.2">
      <c r="A24" s="110">
        <v>39387</v>
      </c>
      <c r="B24" s="120">
        <f t="shared" si="0"/>
        <v>2007</v>
      </c>
      <c r="C24" s="120">
        <f t="shared" si="1"/>
        <v>11</v>
      </c>
      <c r="D24" s="82">
        <v>20794820</v>
      </c>
      <c r="E24" s="82">
        <v>4310941.5416200003</v>
      </c>
    </row>
    <row r="25" spans="1:5" x14ac:dyDescent="0.2">
      <c r="A25" s="110">
        <v>39417</v>
      </c>
      <c r="B25" s="120">
        <f t="shared" si="0"/>
        <v>2007</v>
      </c>
      <c r="C25" s="120">
        <f t="shared" si="1"/>
        <v>12</v>
      </c>
      <c r="D25" s="82">
        <v>23640870</v>
      </c>
      <c r="E25" s="82">
        <v>5649229.7246400006</v>
      </c>
    </row>
    <row r="26" spans="1:5" x14ac:dyDescent="0.2">
      <c r="A26" s="110">
        <v>39448</v>
      </c>
      <c r="B26" s="120">
        <f t="shared" si="0"/>
        <v>2008</v>
      </c>
      <c r="C26" s="120">
        <f t="shared" si="1"/>
        <v>1</v>
      </c>
      <c r="D26" s="82">
        <v>24088720</v>
      </c>
      <c r="E26" s="82">
        <v>5752803.102</v>
      </c>
    </row>
    <row r="27" spans="1:5" x14ac:dyDescent="0.2">
      <c r="A27" s="110">
        <v>39479</v>
      </c>
      <c r="B27" s="120">
        <f t="shared" si="0"/>
        <v>2008</v>
      </c>
      <c r="C27" s="120">
        <f t="shared" si="1"/>
        <v>2</v>
      </c>
      <c r="D27" s="82">
        <v>22590240</v>
      </c>
      <c r="E27" s="82">
        <v>5767472.2287599994</v>
      </c>
    </row>
    <row r="28" spans="1:5" x14ac:dyDescent="0.2">
      <c r="A28" s="110">
        <v>39508</v>
      </c>
      <c r="B28" s="120">
        <f t="shared" si="0"/>
        <v>2008</v>
      </c>
      <c r="C28" s="120">
        <f t="shared" si="1"/>
        <v>3</v>
      </c>
      <c r="D28" s="82">
        <v>22046700</v>
      </c>
      <c r="E28" s="82">
        <v>5473594.7252799999</v>
      </c>
    </row>
    <row r="29" spans="1:5" x14ac:dyDescent="0.2">
      <c r="A29" s="110">
        <v>39539</v>
      </c>
      <c r="B29" s="120">
        <f t="shared" si="0"/>
        <v>2008</v>
      </c>
      <c r="C29" s="120">
        <f t="shared" si="1"/>
        <v>4</v>
      </c>
      <c r="D29" s="82">
        <v>18811030</v>
      </c>
      <c r="E29" s="82">
        <v>5298991.7349999994</v>
      </c>
    </row>
    <row r="30" spans="1:5" x14ac:dyDescent="0.2">
      <c r="A30" s="110">
        <v>39569</v>
      </c>
      <c r="B30" s="120">
        <f t="shared" si="0"/>
        <v>2008</v>
      </c>
      <c r="C30" s="120">
        <f t="shared" si="1"/>
        <v>5</v>
      </c>
      <c r="D30" s="82">
        <v>18644710</v>
      </c>
      <c r="E30" s="82">
        <v>4060756.2636800003</v>
      </c>
    </row>
    <row r="31" spans="1:5" x14ac:dyDescent="0.2">
      <c r="A31" s="110">
        <v>39600</v>
      </c>
      <c r="B31" s="120">
        <f t="shared" si="0"/>
        <v>2008</v>
      </c>
      <c r="C31" s="120">
        <f t="shared" si="1"/>
        <v>6</v>
      </c>
      <c r="D31" s="82">
        <v>22711700</v>
      </c>
      <c r="E31" s="82">
        <v>3930548.8623999991</v>
      </c>
    </row>
    <row r="32" spans="1:5" x14ac:dyDescent="0.2">
      <c r="A32" s="110">
        <v>39630</v>
      </c>
      <c r="B32" s="120">
        <f t="shared" si="0"/>
        <v>2008</v>
      </c>
      <c r="C32" s="120">
        <f t="shared" si="1"/>
        <v>7</v>
      </c>
      <c r="D32" s="82">
        <v>26419990</v>
      </c>
      <c r="E32" s="82">
        <v>4720571.4441000009</v>
      </c>
    </row>
    <row r="33" spans="1:5" x14ac:dyDescent="0.2">
      <c r="A33" s="110">
        <v>39661</v>
      </c>
      <c r="B33" s="120">
        <f t="shared" si="0"/>
        <v>2008</v>
      </c>
      <c r="C33" s="120">
        <f t="shared" si="1"/>
        <v>8</v>
      </c>
      <c r="D33" s="82">
        <v>24364410</v>
      </c>
      <c r="E33" s="82">
        <v>5792960.7385999998</v>
      </c>
    </row>
    <row r="34" spans="1:5" x14ac:dyDescent="0.2">
      <c r="A34" s="110">
        <v>39692</v>
      </c>
      <c r="B34" s="120">
        <f t="shared" si="0"/>
        <v>2008</v>
      </c>
      <c r="C34" s="120">
        <f t="shared" si="1"/>
        <v>9</v>
      </c>
      <c r="D34" s="82">
        <v>20565410</v>
      </c>
      <c r="E34" s="82">
        <v>5288547.1129999999</v>
      </c>
    </row>
    <row r="35" spans="1:5" x14ac:dyDescent="0.2">
      <c r="A35" s="110">
        <v>39722</v>
      </c>
      <c r="B35" s="120">
        <f t="shared" si="0"/>
        <v>2008</v>
      </c>
      <c r="C35" s="120">
        <f t="shared" si="1"/>
        <v>10</v>
      </c>
      <c r="D35" s="82">
        <v>18777310</v>
      </c>
      <c r="E35" s="82">
        <v>4350378.1295999996</v>
      </c>
    </row>
    <row r="36" spans="1:5" x14ac:dyDescent="0.2">
      <c r="A36" s="110">
        <v>39753</v>
      </c>
      <c r="B36" s="120">
        <f t="shared" si="0"/>
        <v>2008</v>
      </c>
      <c r="C36" s="120">
        <f t="shared" si="1"/>
        <v>11</v>
      </c>
      <c r="D36" s="82">
        <v>20094850</v>
      </c>
      <c r="E36" s="82">
        <v>4205455.8103999998</v>
      </c>
    </row>
    <row r="37" spans="1:5" x14ac:dyDescent="0.2">
      <c r="A37" s="110">
        <v>39783</v>
      </c>
      <c r="B37" s="120">
        <f t="shared" si="0"/>
        <v>2008</v>
      </c>
      <c r="C37" s="120">
        <f t="shared" si="1"/>
        <v>12</v>
      </c>
      <c r="D37" s="82">
        <v>23525530</v>
      </c>
      <c r="E37" s="82">
        <v>4666743.4814999998</v>
      </c>
    </row>
    <row r="38" spans="1:5" x14ac:dyDescent="0.2">
      <c r="A38" s="110">
        <v>39814</v>
      </c>
      <c r="B38" s="120">
        <f t="shared" si="0"/>
        <v>2009</v>
      </c>
      <c r="C38" s="120">
        <f t="shared" si="1"/>
        <v>1</v>
      </c>
      <c r="D38" s="82">
        <v>24531230</v>
      </c>
      <c r="E38" s="82">
        <v>5986418.2281999998</v>
      </c>
    </row>
    <row r="39" spans="1:5" x14ac:dyDescent="0.2">
      <c r="A39" s="110">
        <v>39845</v>
      </c>
      <c r="B39" s="120">
        <f t="shared" si="0"/>
        <v>2009</v>
      </c>
      <c r="C39" s="120">
        <f t="shared" si="1"/>
        <v>2</v>
      </c>
      <c r="D39" s="82">
        <v>20746930</v>
      </c>
      <c r="E39" s="82">
        <v>6228643.7355999993</v>
      </c>
    </row>
    <row r="40" spans="1:5" x14ac:dyDescent="0.2">
      <c r="A40" s="110">
        <v>39873</v>
      </c>
      <c r="B40" s="120">
        <f t="shared" si="0"/>
        <v>2009</v>
      </c>
      <c r="C40" s="120">
        <f t="shared" si="1"/>
        <v>3</v>
      </c>
      <c r="D40" s="82">
        <v>20762810</v>
      </c>
      <c r="E40" s="82">
        <v>5113039.1959999995</v>
      </c>
    </row>
    <row r="41" spans="1:5" x14ac:dyDescent="0.2">
      <c r="A41" s="110">
        <v>39904</v>
      </c>
      <c r="B41" s="120">
        <f t="shared" si="0"/>
        <v>2009</v>
      </c>
      <c r="C41" s="120">
        <f t="shared" si="1"/>
        <v>4</v>
      </c>
      <c r="D41" s="82">
        <v>18304870</v>
      </c>
      <c r="E41" s="82">
        <v>5070795.6617999999</v>
      </c>
    </row>
    <row r="42" spans="1:5" x14ac:dyDescent="0.2">
      <c r="A42" s="110">
        <v>39934</v>
      </c>
      <c r="B42" s="120">
        <f t="shared" si="0"/>
        <v>2009</v>
      </c>
      <c r="C42" s="120">
        <f t="shared" si="1"/>
        <v>5</v>
      </c>
      <c r="D42" s="82">
        <v>17564207.692307696</v>
      </c>
      <c r="E42" s="82">
        <v>4234884.3057999993</v>
      </c>
    </row>
    <row r="43" spans="1:5" x14ac:dyDescent="0.2">
      <c r="A43" s="110">
        <v>39965</v>
      </c>
      <c r="B43" s="120">
        <f t="shared" si="0"/>
        <v>2009</v>
      </c>
      <c r="C43" s="120">
        <f t="shared" si="1"/>
        <v>6</v>
      </c>
      <c r="D43" s="82">
        <v>20151815.384615388</v>
      </c>
      <c r="E43" s="82">
        <v>3882033.5824000002</v>
      </c>
    </row>
    <row r="44" spans="1:5" x14ac:dyDescent="0.2">
      <c r="A44" s="110">
        <v>39995</v>
      </c>
      <c r="B44" s="120">
        <f t="shared" si="0"/>
        <v>2009</v>
      </c>
      <c r="C44" s="120">
        <f t="shared" si="1"/>
        <v>7</v>
      </c>
      <c r="D44" s="82">
        <v>21718676.923076924</v>
      </c>
      <c r="E44" s="82">
        <v>4380699.4228999997</v>
      </c>
    </row>
    <row r="45" spans="1:5" x14ac:dyDescent="0.2">
      <c r="A45" s="110">
        <v>40026</v>
      </c>
      <c r="B45" s="120">
        <f t="shared" si="0"/>
        <v>2009</v>
      </c>
      <c r="C45" s="120">
        <f t="shared" si="1"/>
        <v>8</v>
      </c>
      <c r="D45" s="82">
        <v>24301261.53846154</v>
      </c>
      <c r="E45" s="82">
        <v>3780901.4922000002</v>
      </c>
    </row>
    <row r="46" spans="1:5" x14ac:dyDescent="0.2">
      <c r="A46" s="110">
        <v>40057</v>
      </c>
      <c r="B46" s="120">
        <f t="shared" si="0"/>
        <v>2009</v>
      </c>
      <c r="C46" s="120">
        <f t="shared" si="1"/>
        <v>9</v>
      </c>
      <c r="D46" s="82">
        <v>19833253.846153848</v>
      </c>
      <c r="E46" s="82">
        <v>5253467.5819999995</v>
      </c>
    </row>
    <row r="47" spans="1:5" x14ac:dyDescent="0.2">
      <c r="A47" s="110">
        <v>40087</v>
      </c>
      <c r="B47" s="120">
        <f t="shared" si="0"/>
        <v>2009</v>
      </c>
      <c r="C47" s="120">
        <f t="shared" si="1"/>
        <v>10</v>
      </c>
      <c r="D47" s="82">
        <v>19025038.46153846</v>
      </c>
      <c r="E47" s="82">
        <v>3762845.0086999997</v>
      </c>
    </row>
    <row r="48" spans="1:5" x14ac:dyDescent="0.2">
      <c r="A48" s="110">
        <v>40118</v>
      </c>
      <c r="B48" s="120">
        <f t="shared" si="0"/>
        <v>2009</v>
      </c>
      <c r="C48" s="120">
        <f t="shared" si="1"/>
        <v>11</v>
      </c>
      <c r="D48" s="82">
        <v>19026900</v>
      </c>
      <c r="E48" s="82">
        <v>3776087.9072999996</v>
      </c>
    </row>
    <row r="49" spans="1:5" x14ac:dyDescent="0.2">
      <c r="A49" s="110">
        <v>40148</v>
      </c>
      <c r="B49" s="120">
        <f t="shared" si="0"/>
        <v>2009</v>
      </c>
      <c r="C49" s="120">
        <f t="shared" si="1"/>
        <v>12</v>
      </c>
      <c r="D49" s="82">
        <v>22891584.615384616</v>
      </c>
      <c r="E49" s="82">
        <v>3766879.0844999999</v>
      </c>
    </row>
    <row r="50" spans="1:5" x14ac:dyDescent="0.2">
      <c r="A50" s="110">
        <v>40179</v>
      </c>
      <c r="B50" s="120">
        <f t="shared" si="0"/>
        <v>2010</v>
      </c>
      <c r="C50" s="120">
        <f t="shared" si="1"/>
        <v>1</v>
      </c>
      <c r="D50" s="82">
        <v>23520946.153846156</v>
      </c>
      <c r="E50" s="82">
        <v>4803309.3464000002</v>
      </c>
    </row>
    <row r="51" spans="1:5" x14ac:dyDescent="0.2">
      <c r="A51" s="110">
        <v>40210</v>
      </c>
      <c r="B51" s="120">
        <f t="shared" si="0"/>
        <v>2010</v>
      </c>
      <c r="C51" s="120">
        <f t="shared" si="1"/>
        <v>2</v>
      </c>
      <c r="D51" s="82">
        <v>20573876.923076924</v>
      </c>
      <c r="E51" s="82">
        <v>5113487.8109999998</v>
      </c>
    </row>
    <row r="52" spans="1:5" x14ac:dyDescent="0.2">
      <c r="A52" s="110">
        <v>40238</v>
      </c>
      <c r="B52" s="120">
        <f t="shared" si="0"/>
        <v>2010</v>
      </c>
      <c r="C52" s="120">
        <f t="shared" si="1"/>
        <v>3</v>
      </c>
      <c r="D52" s="82">
        <v>20520861.53846154</v>
      </c>
      <c r="E52" s="82">
        <v>4395653.0039999997</v>
      </c>
    </row>
    <row r="53" spans="1:5" x14ac:dyDescent="0.2">
      <c r="A53" s="110">
        <v>40269</v>
      </c>
      <c r="B53" s="120">
        <f t="shared" si="0"/>
        <v>2010</v>
      </c>
      <c r="C53" s="120">
        <f t="shared" si="1"/>
        <v>4</v>
      </c>
      <c r="D53" s="82">
        <v>17431446.153846156</v>
      </c>
      <c r="E53" s="82">
        <v>3594249.8704999997</v>
      </c>
    </row>
    <row r="54" spans="1:5" x14ac:dyDescent="0.2">
      <c r="A54" s="110">
        <v>40299</v>
      </c>
      <c r="B54" s="120">
        <f t="shared" si="0"/>
        <v>2010</v>
      </c>
      <c r="C54" s="120">
        <f t="shared" si="1"/>
        <v>5</v>
      </c>
      <c r="D54" s="82">
        <v>19189807.692307692</v>
      </c>
      <c r="E54" s="82">
        <v>3357369.0432999996</v>
      </c>
    </row>
    <row r="55" spans="1:5" x14ac:dyDescent="0.2">
      <c r="A55" s="110">
        <v>40330</v>
      </c>
      <c r="B55" s="120">
        <f t="shared" si="0"/>
        <v>2010</v>
      </c>
      <c r="C55" s="120">
        <f t="shared" si="1"/>
        <v>6</v>
      </c>
      <c r="D55" s="82">
        <v>23092030.769230768</v>
      </c>
      <c r="E55" s="82">
        <v>3596503.5392999998</v>
      </c>
    </row>
    <row r="56" spans="1:5" x14ac:dyDescent="0.2">
      <c r="A56" s="110">
        <v>40360</v>
      </c>
      <c r="B56" s="120">
        <f t="shared" si="0"/>
        <v>2010</v>
      </c>
      <c r="C56" s="120">
        <f t="shared" si="1"/>
        <v>7</v>
      </c>
      <c r="D56" s="82">
        <v>28187746.153846156</v>
      </c>
      <c r="E56" s="82">
        <v>4308053.8447000002</v>
      </c>
    </row>
    <row r="57" spans="1:5" x14ac:dyDescent="0.2">
      <c r="A57" s="110">
        <v>40391</v>
      </c>
      <c r="B57" s="120">
        <f t="shared" si="0"/>
        <v>2010</v>
      </c>
      <c r="C57" s="120">
        <f t="shared" si="1"/>
        <v>8</v>
      </c>
      <c r="D57" s="82">
        <v>26984638.46153846</v>
      </c>
      <c r="E57" s="82">
        <v>5600560.3589000003</v>
      </c>
    </row>
    <row r="58" spans="1:5" x14ac:dyDescent="0.2">
      <c r="A58" s="110">
        <v>40422</v>
      </c>
      <c r="B58" s="120">
        <f t="shared" si="0"/>
        <v>2010</v>
      </c>
      <c r="C58" s="120">
        <f t="shared" si="1"/>
        <v>9</v>
      </c>
      <c r="D58" s="82">
        <v>19634115.384615384</v>
      </c>
      <c r="E58" s="82">
        <v>5345059.1985999998</v>
      </c>
    </row>
    <row r="59" spans="1:5" x14ac:dyDescent="0.2">
      <c r="A59" s="110">
        <v>40452</v>
      </c>
      <c r="B59" s="120">
        <f t="shared" si="0"/>
        <v>2010</v>
      </c>
      <c r="C59" s="120">
        <f t="shared" si="1"/>
        <v>10</v>
      </c>
      <c r="D59" s="82">
        <v>18062553.846153848</v>
      </c>
      <c r="E59" s="82">
        <v>4097940.9556999994</v>
      </c>
    </row>
    <row r="60" spans="1:5" x14ac:dyDescent="0.2">
      <c r="A60" s="110">
        <v>40483</v>
      </c>
      <c r="B60" s="120">
        <f t="shared" si="0"/>
        <v>2010</v>
      </c>
      <c r="C60" s="120">
        <f t="shared" si="1"/>
        <v>11</v>
      </c>
      <c r="D60" s="82">
        <v>20064653.846153848</v>
      </c>
      <c r="E60" s="82">
        <v>3907777.7055000002</v>
      </c>
    </row>
    <row r="61" spans="1:5" x14ac:dyDescent="0.2">
      <c r="A61" s="110">
        <v>40513</v>
      </c>
      <c r="B61" s="120">
        <f t="shared" si="0"/>
        <v>2010</v>
      </c>
      <c r="C61" s="120">
        <f t="shared" si="1"/>
        <v>12</v>
      </c>
      <c r="D61" s="82">
        <v>24022230.769230772</v>
      </c>
      <c r="E61" s="82">
        <v>3870056.1023999997</v>
      </c>
    </row>
    <row r="62" spans="1:5" x14ac:dyDescent="0.2">
      <c r="A62" s="110">
        <v>40544</v>
      </c>
      <c r="B62" s="120">
        <f t="shared" si="0"/>
        <v>2011</v>
      </c>
      <c r="C62" s="120">
        <f t="shared" si="1"/>
        <v>1</v>
      </c>
      <c r="D62" s="82">
        <v>23397084.615384616</v>
      </c>
      <c r="E62" s="82">
        <v>5500808.8137999997</v>
      </c>
    </row>
    <row r="63" spans="1:5" x14ac:dyDescent="0.2">
      <c r="A63" s="110">
        <v>40575</v>
      </c>
      <c r="B63" s="120">
        <f t="shared" si="0"/>
        <v>2011</v>
      </c>
      <c r="C63" s="120">
        <f t="shared" si="1"/>
        <v>2</v>
      </c>
      <c r="D63" s="82">
        <v>20570361.53846154</v>
      </c>
      <c r="E63" s="82">
        <v>5684569.301</v>
      </c>
    </row>
    <row r="64" spans="1:5" x14ac:dyDescent="0.2">
      <c r="A64" s="110">
        <v>40603</v>
      </c>
      <c r="B64" s="120">
        <f t="shared" si="0"/>
        <v>2011</v>
      </c>
      <c r="C64" s="120">
        <f t="shared" si="1"/>
        <v>3</v>
      </c>
      <c r="D64" s="82">
        <v>21011815.384615388</v>
      </c>
      <c r="E64" s="82">
        <v>4907120.8032</v>
      </c>
    </row>
    <row r="65" spans="1:7" x14ac:dyDescent="0.2">
      <c r="A65" s="110">
        <v>40634</v>
      </c>
      <c r="B65" s="120">
        <f t="shared" si="0"/>
        <v>2011</v>
      </c>
      <c r="C65" s="120">
        <f t="shared" si="1"/>
        <v>4</v>
      </c>
      <c r="D65" s="82">
        <v>18252353.846153848</v>
      </c>
      <c r="E65" s="82">
        <v>4732985.6480999999</v>
      </c>
    </row>
    <row r="66" spans="1:7" x14ac:dyDescent="0.2">
      <c r="A66" s="110">
        <v>40664</v>
      </c>
      <c r="B66" s="120">
        <f t="shared" si="0"/>
        <v>2011</v>
      </c>
      <c r="C66" s="120">
        <f t="shared" si="1"/>
        <v>5</v>
      </c>
      <c r="D66" s="82">
        <v>18454400</v>
      </c>
      <c r="E66" s="82">
        <v>4046248.0761999995</v>
      </c>
    </row>
    <row r="67" spans="1:7" x14ac:dyDescent="0.2">
      <c r="A67" s="110">
        <v>40695</v>
      </c>
      <c r="B67" s="120">
        <f t="shared" ref="B67:B130" si="6">YEAR(A67)</f>
        <v>2011</v>
      </c>
      <c r="C67" s="120">
        <f t="shared" ref="C67:C130" si="7">MONTH(A67)</f>
        <v>6</v>
      </c>
      <c r="D67" s="82">
        <v>21528092.307692308</v>
      </c>
      <c r="E67" s="82">
        <v>3885225.7753999992</v>
      </c>
    </row>
    <row r="68" spans="1:7" x14ac:dyDescent="0.2">
      <c r="A68" s="110">
        <v>40725</v>
      </c>
      <c r="B68" s="120">
        <f t="shared" si="6"/>
        <v>2011</v>
      </c>
      <c r="C68" s="120">
        <f t="shared" si="7"/>
        <v>7</v>
      </c>
      <c r="D68" s="82">
        <v>28389523.076923076</v>
      </c>
      <c r="E68" s="82">
        <v>4417346.6200999999</v>
      </c>
    </row>
    <row r="69" spans="1:7" x14ac:dyDescent="0.2">
      <c r="A69" s="110">
        <v>40756</v>
      </c>
      <c r="B69" s="120">
        <f t="shared" si="6"/>
        <v>2011</v>
      </c>
      <c r="C69" s="120">
        <f t="shared" si="7"/>
        <v>8</v>
      </c>
      <c r="D69" s="82">
        <v>24810530.769230768</v>
      </c>
      <c r="E69" s="82">
        <v>6295914.5817999998</v>
      </c>
    </row>
    <row r="70" spans="1:7" x14ac:dyDescent="0.2">
      <c r="A70" s="110">
        <v>40787</v>
      </c>
      <c r="B70" s="120">
        <f t="shared" si="6"/>
        <v>2011</v>
      </c>
      <c r="C70" s="120">
        <f t="shared" si="7"/>
        <v>9</v>
      </c>
      <c r="D70" s="82">
        <v>19628307.692307692</v>
      </c>
      <c r="E70" s="82">
        <v>5299992.0924000004</v>
      </c>
    </row>
    <row r="71" spans="1:7" x14ac:dyDescent="0.2">
      <c r="A71" s="110">
        <v>40817</v>
      </c>
      <c r="B71" s="120">
        <f t="shared" si="6"/>
        <v>2011</v>
      </c>
      <c r="C71" s="120">
        <f t="shared" si="7"/>
        <v>10</v>
      </c>
      <c r="D71" s="82">
        <v>18511823.076923076</v>
      </c>
      <c r="E71" s="82">
        <v>4140209.2447999995</v>
      </c>
    </row>
    <row r="72" spans="1:7" x14ac:dyDescent="0.2">
      <c r="A72" s="110">
        <v>40848</v>
      </c>
      <c r="B72" s="120">
        <f t="shared" si="6"/>
        <v>2011</v>
      </c>
      <c r="C72" s="120">
        <f t="shared" si="7"/>
        <v>11</v>
      </c>
      <c r="D72" s="82">
        <v>18941946.153846152</v>
      </c>
      <c r="E72" s="82">
        <v>3941621.7615999999</v>
      </c>
    </row>
    <row r="73" spans="1:7" x14ac:dyDescent="0.2">
      <c r="A73" s="110">
        <v>40878</v>
      </c>
      <c r="B73" s="120">
        <f t="shared" si="6"/>
        <v>2011</v>
      </c>
      <c r="C73" s="120">
        <f t="shared" si="7"/>
        <v>12</v>
      </c>
      <c r="D73" s="82">
        <v>21539476.923076924</v>
      </c>
      <c r="E73" s="82">
        <v>4160346.3289999999</v>
      </c>
    </row>
    <row r="74" spans="1:7" x14ac:dyDescent="0.2">
      <c r="A74" s="110">
        <v>40909</v>
      </c>
      <c r="B74" s="120">
        <f t="shared" si="6"/>
        <v>2012</v>
      </c>
      <c r="C74" s="120">
        <f t="shared" si="7"/>
        <v>1</v>
      </c>
      <c r="D74" s="82">
        <v>22039669.230769232</v>
      </c>
      <c r="E74" s="82">
        <v>5033525.5924000004</v>
      </c>
      <c r="G74" s="112"/>
    </row>
    <row r="75" spans="1:7" x14ac:dyDescent="0.2">
      <c r="A75" s="110">
        <v>40940</v>
      </c>
      <c r="B75" s="120">
        <f t="shared" si="6"/>
        <v>2012</v>
      </c>
      <c r="C75" s="120">
        <f t="shared" si="7"/>
        <v>2</v>
      </c>
      <c r="D75" s="82">
        <v>19611361.53846154</v>
      </c>
      <c r="E75" s="82">
        <v>5163650.5350000001</v>
      </c>
      <c r="G75" s="112"/>
    </row>
    <row r="76" spans="1:7" x14ac:dyDescent="0.2">
      <c r="A76" s="110">
        <v>40969</v>
      </c>
      <c r="B76" s="120">
        <f t="shared" si="6"/>
        <v>2012</v>
      </c>
      <c r="C76" s="120">
        <f t="shared" si="7"/>
        <v>3</v>
      </c>
      <c r="D76" s="82">
        <v>18499069.230769232</v>
      </c>
      <c r="E76" s="82">
        <v>4524363.9985999996</v>
      </c>
      <c r="G76" s="112"/>
    </row>
    <row r="77" spans="1:7" x14ac:dyDescent="0.2">
      <c r="A77" s="110">
        <v>41000</v>
      </c>
      <c r="B77" s="120">
        <f t="shared" si="6"/>
        <v>2012</v>
      </c>
      <c r="C77" s="120">
        <f t="shared" si="7"/>
        <v>4</v>
      </c>
      <c r="D77" s="82">
        <v>19946663.636363637</v>
      </c>
      <c r="E77" s="82">
        <v>4020800.6875999994</v>
      </c>
      <c r="G77" s="112"/>
    </row>
    <row r="78" spans="1:7" x14ac:dyDescent="0.2">
      <c r="A78" s="110">
        <v>41030</v>
      </c>
      <c r="B78" s="120">
        <f t="shared" si="6"/>
        <v>2012</v>
      </c>
      <c r="C78" s="120">
        <f t="shared" si="7"/>
        <v>5</v>
      </c>
      <c r="D78" s="82">
        <v>18352863.636363637</v>
      </c>
      <c r="E78" s="82">
        <v>3715365.5429000002</v>
      </c>
      <c r="G78" s="112"/>
    </row>
    <row r="79" spans="1:7" x14ac:dyDescent="0.2">
      <c r="A79" s="110">
        <v>41061</v>
      </c>
      <c r="B79" s="120">
        <f t="shared" si="6"/>
        <v>2012</v>
      </c>
      <c r="C79" s="120">
        <f t="shared" si="7"/>
        <v>6</v>
      </c>
      <c r="D79" s="82">
        <v>22640936.36363636</v>
      </c>
      <c r="E79" s="82">
        <v>3836936.6406</v>
      </c>
      <c r="G79" s="112"/>
    </row>
    <row r="80" spans="1:7" x14ac:dyDescent="0.2">
      <c r="A80" s="110">
        <v>41091</v>
      </c>
      <c r="B80" s="120">
        <f t="shared" si="6"/>
        <v>2012</v>
      </c>
      <c r="C80" s="120">
        <f t="shared" si="7"/>
        <v>7</v>
      </c>
      <c r="D80" s="82">
        <v>27569299.999999996</v>
      </c>
      <c r="E80" s="82">
        <v>4801683.09</v>
      </c>
      <c r="G80" s="112"/>
    </row>
    <row r="81" spans="1:8" x14ac:dyDescent="0.2">
      <c r="A81" s="110">
        <v>41122</v>
      </c>
      <c r="B81" s="120">
        <f t="shared" si="6"/>
        <v>2012</v>
      </c>
      <c r="C81" s="120">
        <f t="shared" si="7"/>
        <v>8</v>
      </c>
      <c r="D81" s="82">
        <v>23505663.636363633</v>
      </c>
      <c r="E81" s="82">
        <v>6167729.818</v>
      </c>
      <c r="G81" s="112"/>
    </row>
    <row r="82" spans="1:8" x14ac:dyDescent="0.2">
      <c r="A82" s="110">
        <v>41153</v>
      </c>
      <c r="B82" s="120">
        <f t="shared" si="6"/>
        <v>2012</v>
      </c>
      <c r="C82" s="120">
        <f t="shared" si="7"/>
        <v>9</v>
      </c>
      <c r="D82" s="82">
        <v>18912418.18181818</v>
      </c>
      <c r="E82" s="82">
        <v>5144563.318</v>
      </c>
      <c r="G82" s="112"/>
    </row>
    <row r="83" spans="1:8" x14ac:dyDescent="0.2">
      <c r="A83" s="110">
        <v>41183</v>
      </c>
      <c r="B83" s="120">
        <f t="shared" si="6"/>
        <v>2012</v>
      </c>
      <c r="C83" s="120">
        <f t="shared" si="7"/>
        <v>10</v>
      </c>
      <c r="D83" s="82">
        <v>17381318.18181818</v>
      </c>
      <c r="E83" s="82">
        <v>4109515.5469999998</v>
      </c>
      <c r="G83" s="112"/>
    </row>
    <row r="84" spans="1:8" x14ac:dyDescent="0.2">
      <c r="A84" s="110">
        <v>41214</v>
      </c>
      <c r="B84" s="120">
        <f t="shared" si="6"/>
        <v>2012</v>
      </c>
      <c r="C84" s="120">
        <f t="shared" si="7"/>
        <v>11</v>
      </c>
      <c r="D84" s="82">
        <v>18308972.727272727</v>
      </c>
      <c r="E84" s="82">
        <v>3700252.9467000002</v>
      </c>
      <c r="G84" s="112"/>
    </row>
    <row r="85" spans="1:8" x14ac:dyDescent="0.2">
      <c r="A85" s="110">
        <v>41244</v>
      </c>
      <c r="B85" s="120">
        <f t="shared" si="6"/>
        <v>2012</v>
      </c>
      <c r="C85" s="120">
        <f t="shared" si="7"/>
        <v>12</v>
      </c>
      <c r="D85" s="82">
        <v>20133590.90909091</v>
      </c>
      <c r="E85" s="82">
        <v>3952350.1461</v>
      </c>
      <c r="G85" s="112"/>
    </row>
    <row r="86" spans="1:8" x14ac:dyDescent="0.2">
      <c r="A86" s="110">
        <v>41275</v>
      </c>
      <c r="B86" s="120">
        <f t="shared" si="6"/>
        <v>2013</v>
      </c>
      <c r="C86" s="120">
        <f t="shared" si="7"/>
        <v>1</v>
      </c>
      <c r="D86" s="82">
        <v>23386699.999999996</v>
      </c>
      <c r="E86" s="82">
        <v>4815275.5839999998</v>
      </c>
      <c r="F86" s="109"/>
      <c r="G86" s="114"/>
      <c r="H86" s="113"/>
    </row>
    <row r="87" spans="1:8" x14ac:dyDescent="0.2">
      <c r="A87" s="110">
        <v>41306</v>
      </c>
      <c r="B87" s="120">
        <f t="shared" si="6"/>
        <v>2013</v>
      </c>
      <c r="C87" s="120">
        <f t="shared" si="7"/>
        <v>2</v>
      </c>
      <c r="D87" s="82">
        <v>21170572.727272727</v>
      </c>
      <c r="E87" s="82">
        <v>5121922.8539999994</v>
      </c>
      <c r="F87" s="109"/>
      <c r="G87" s="112"/>
    </row>
    <row r="88" spans="1:8" x14ac:dyDescent="0.2">
      <c r="A88" s="110">
        <v>41334</v>
      </c>
      <c r="B88" s="120">
        <f t="shared" si="6"/>
        <v>2013</v>
      </c>
      <c r="C88" s="120">
        <f t="shared" si="7"/>
        <v>3</v>
      </c>
      <c r="D88" s="82">
        <v>21583554.545454543</v>
      </c>
      <c r="E88" s="82">
        <v>4664194.591599999</v>
      </c>
      <c r="F88" s="109"/>
      <c r="G88" s="112"/>
    </row>
    <row r="89" spans="1:8" x14ac:dyDescent="0.2">
      <c r="A89" s="110">
        <v>41365</v>
      </c>
      <c r="B89" s="120">
        <f t="shared" si="6"/>
        <v>2013</v>
      </c>
      <c r="C89" s="120">
        <f t="shared" si="7"/>
        <v>4</v>
      </c>
      <c r="D89" s="82">
        <v>19125345.454545453</v>
      </c>
      <c r="E89" s="82">
        <v>4705233.0269999998</v>
      </c>
      <c r="F89" s="109"/>
      <c r="G89" s="112"/>
    </row>
    <row r="90" spans="1:8" x14ac:dyDescent="0.2">
      <c r="A90" s="110">
        <v>41395</v>
      </c>
      <c r="B90" s="120">
        <f t="shared" si="6"/>
        <v>2013</v>
      </c>
      <c r="C90" s="120">
        <f t="shared" si="7"/>
        <v>5</v>
      </c>
      <c r="D90" s="82">
        <v>17617625.000000004</v>
      </c>
      <c r="E90" s="82">
        <v>3915508.8012999999</v>
      </c>
      <c r="F90" s="109"/>
      <c r="G90" s="112"/>
    </row>
    <row r="91" spans="1:8" x14ac:dyDescent="0.2">
      <c r="A91" s="110">
        <v>41426</v>
      </c>
      <c r="B91" s="120">
        <f t="shared" si="6"/>
        <v>2013</v>
      </c>
      <c r="C91" s="120">
        <f t="shared" si="7"/>
        <v>6</v>
      </c>
      <c r="D91" s="82">
        <v>19936866.666666668</v>
      </c>
      <c r="E91" s="82">
        <v>3645317.7157999999</v>
      </c>
      <c r="F91" s="109"/>
      <c r="G91" s="112"/>
    </row>
    <row r="92" spans="1:8" x14ac:dyDescent="0.2">
      <c r="A92" s="110">
        <v>41456</v>
      </c>
      <c r="B92" s="120">
        <f t="shared" si="6"/>
        <v>2013</v>
      </c>
      <c r="C92" s="120">
        <f t="shared" si="7"/>
        <v>7</v>
      </c>
      <c r="D92" s="82">
        <v>23686275</v>
      </c>
      <c r="E92" s="82">
        <v>4244297.978099999</v>
      </c>
      <c r="F92" s="109"/>
      <c r="G92" s="112"/>
    </row>
    <row r="93" spans="1:8" x14ac:dyDescent="0.2">
      <c r="A93" s="110">
        <v>41487</v>
      </c>
      <c r="B93" s="120">
        <f t="shared" si="6"/>
        <v>2013</v>
      </c>
      <c r="C93" s="120">
        <f t="shared" si="7"/>
        <v>8</v>
      </c>
      <c r="D93" s="82">
        <v>22403900.000000004</v>
      </c>
      <c r="E93" s="82">
        <v>5299604.6619999995</v>
      </c>
      <c r="F93" s="109"/>
      <c r="G93" s="112"/>
    </row>
    <row r="94" spans="1:8" x14ac:dyDescent="0.2">
      <c r="A94" s="110">
        <v>41518</v>
      </c>
      <c r="B94" s="120">
        <f t="shared" si="6"/>
        <v>2013</v>
      </c>
      <c r="C94" s="120">
        <f t="shared" si="7"/>
        <v>9</v>
      </c>
      <c r="D94" s="82">
        <v>18880325</v>
      </c>
      <c r="E94" s="82">
        <v>4825504.0060000001</v>
      </c>
      <c r="F94" s="109"/>
      <c r="G94" s="112"/>
    </row>
    <row r="95" spans="1:8" x14ac:dyDescent="0.2">
      <c r="A95" s="110">
        <v>41548</v>
      </c>
      <c r="B95" s="120">
        <f t="shared" si="6"/>
        <v>2013</v>
      </c>
      <c r="C95" s="120">
        <f t="shared" si="7"/>
        <v>10</v>
      </c>
      <c r="D95" s="82">
        <v>18114283.333333336</v>
      </c>
      <c r="E95" s="82">
        <v>3980625.1063999999</v>
      </c>
      <c r="F95" s="109"/>
      <c r="G95" s="112"/>
    </row>
    <row r="96" spans="1:8" x14ac:dyDescent="0.2">
      <c r="A96" s="110">
        <v>41579</v>
      </c>
      <c r="B96" s="120">
        <f t="shared" si="6"/>
        <v>2013</v>
      </c>
      <c r="C96" s="120">
        <f t="shared" si="7"/>
        <v>11</v>
      </c>
      <c r="D96" s="82">
        <v>19414258.333333336</v>
      </c>
      <c r="E96" s="82">
        <v>3873271.5369000002</v>
      </c>
      <c r="F96" s="109"/>
      <c r="G96" s="112"/>
    </row>
    <row r="97" spans="1:7" x14ac:dyDescent="0.2">
      <c r="A97" s="110">
        <v>41609</v>
      </c>
      <c r="B97" s="120">
        <f t="shared" si="6"/>
        <v>2013</v>
      </c>
      <c r="C97" s="120">
        <f t="shared" si="7"/>
        <v>12</v>
      </c>
      <c r="D97" s="82">
        <v>22361725</v>
      </c>
      <c r="E97" s="82">
        <v>4755196.7389000002</v>
      </c>
      <c r="F97" s="109"/>
      <c r="G97" s="112"/>
    </row>
    <row r="98" spans="1:7" x14ac:dyDescent="0.2">
      <c r="A98" s="110">
        <v>41640</v>
      </c>
      <c r="B98" s="120">
        <f t="shared" si="6"/>
        <v>2014</v>
      </c>
      <c r="C98" s="120">
        <f t="shared" si="7"/>
        <v>1</v>
      </c>
      <c r="D98" s="82">
        <v>24264791.666666668</v>
      </c>
      <c r="E98" s="82">
        <v>5851666.1732000001</v>
      </c>
      <c r="F98" s="109"/>
      <c r="G98" s="112"/>
    </row>
    <row r="99" spans="1:7" x14ac:dyDescent="0.2">
      <c r="A99" s="110">
        <v>41671</v>
      </c>
      <c r="B99" s="120">
        <f t="shared" si="6"/>
        <v>2014</v>
      </c>
      <c r="C99" s="120">
        <f t="shared" si="7"/>
        <v>2</v>
      </c>
      <c r="D99" s="82">
        <v>20828400.000000004</v>
      </c>
      <c r="E99" s="82">
        <v>6455879.2321999995</v>
      </c>
      <c r="F99" s="109"/>
      <c r="G99" s="112"/>
    </row>
    <row r="100" spans="1:7" x14ac:dyDescent="0.2">
      <c r="A100" s="110">
        <v>41699</v>
      </c>
      <c r="B100" s="120">
        <f t="shared" si="6"/>
        <v>2014</v>
      </c>
      <c r="C100" s="120">
        <f t="shared" si="7"/>
        <v>3</v>
      </c>
      <c r="D100" s="82">
        <v>21052908.333333336</v>
      </c>
      <c r="E100" s="82">
        <v>5377054.6365999999</v>
      </c>
      <c r="F100" s="109"/>
      <c r="G100" s="112"/>
    </row>
    <row r="101" spans="1:7" x14ac:dyDescent="0.2">
      <c r="A101" s="110">
        <v>41730</v>
      </c>
      <c r="B101" s="120">
        <f t="shared" si="6"/>
        <v>2014</v>
      </c>
      <c r="C101" s="120">
        <f t="shared" si="7"/>
        <v>4</v>
      </c>
      <c r="D101" s="82">
        <v>17638016.666666668</v>
      </c>
      <c r="E101" s="82">
        <v>5351869.0661999993</v>
      </c>
      <c r="F101" s="109"/>
      <c r="G101" s="112"/>
    </row>
    <row r="102" spans="1:7" x14ac:dyDescent="0.2">
      <c r="A102" s="110">
        <v>41760</v>
      </c>
      <c r="B102" s="120">
        <f t="shared" si="6"/>
        <v>2014</v>
      </c>
      <c r="C102" s="120">
        <f t="shared" si="7"/>
        <v>5</v>
      </c>
      <c r="D102" s="82">
        <v>18077492.307692308</v>
      </c>
      <c r="E102" s="82">
        <v>4532702.1191399992</v>
      </c>
      <c r="F102" s="109"/>
      <c r="G102" s="112"/>
    </row>
    <row r="103" spans="1:7" x14ac:dyDescent="0.2">
      <c r="A103" s="110">
        <v>41791</v>
      </c>
      <c r="B103" s="120">
        <f t="shared" si="6"/>
        <v>2014</v>
      </c>
      <c r="C103" s="120">
        <f t="shared" si="7"/>
        <v>6</v>
      </c>
      <c r="D103" s="82">
        <v>21714569.230769232</v>
      </c>
      <c r="E103" s="82">
        <v>4769608.2417399995</v>
      </c>
      <c r="F103" s="109"/>
      <c r="G103" s="112"/>
    </row>
    <row r="104" spans="1:7" x14ac:dyDescent="0.2">
      <c r="A104" s="110">
        <v>41821</v>
      </c>
      <c r="B104" s="120">
        <f t="shared" si="6"/>
        <v>2014</v>
      </c>
      <c r="C104" s="120">
        <f t="shared" si="7"/>
        <v>7</v>
      </c>
      <c r="D104" s="82">
        <v>22619392.307692308</v>
      </c>
      <c r="E104" s="82">
        <v>5499725.0896799993</v>
      </c>
      <c r="F104" s="109"/>
      <c r="G104" s="112"/>
    </row>
    <row r="105" spans="1:7" x14ac:dyDescent="0.2">
      <c r="A105" s="110">
        <v>41852</v>
      </c>
      <c r="B105" s="120">
        <f t="shared" si="6"/>
        <v>2014</v>
      </c>
      <c r="C105" s="120">
        <f t="shared" si="7"/>
        <v>8</v>
      </c>
      <c r="D105" s="82">
        <v>23222976.923076924</v>
      </c>
      <c r="E105" s="82">
        <v>5776255.4186199997</v>
      </c>
      <c r="F105" s="109"/>
      <c r="G105" s="112"/>
    </row>
    <row r="106" spans="1:7" x14ac:dyDescent="0.2">
      <c r="A106" s="110">
        <v>41883</v>
      </c>
      <c r="B106" s="120">
        <f t="shared" si="6"/>
        <v>2014</v>
      </c>
      <c r="C106" s="120">
        <f t="shared" si="7"/>
        <v>9</v>
      </c>
      <c r="D106" s="82">
        <v>19789369.230769232</v>
      </c>
      <c r="E106" s="82">
        <v>5942311.7742699999</v>
      </c>
      <c r="F106" s="109"/>
      <c r="G106" s="112"/>
    </row>
    <row r="107" spans="1:7" x14ac:dyDescent="0.2">
      <c r="A107" s="110">
        <v>41913</v>
      </c>
      <c r="B107" s="120">
        <f t="shared" si="6"/>
        <v>2014</v>
      </c>
      <c r="C107" s="120">
        <f t="shared" si="7"/>
        <v>10</v>
      </c>
      <c r="D107" s="82">
        <v>18224553.846153844</v>
      </c>
      <c r="E107" s="82">
        <v>4937879.0150799993</v>
      </c>
      <c r="F107" s="109"/>
      <c r="G107" s="112"/>
    </row>
    <row r="108" spans="1:7" x14ac:dyDescent="0.2">
      <c r="A108" s="110">
        <v>41944</v>
      </c>
      <c r="B108" s="120">
        <f t="shared" si="6"/>
        <v>2014</v>
      </c>
      <c r="C108" s="120">
        <f t="shared" si="7"/>
        <v>11</v>
      </c>
      <c r="D108" s="82">
        <v>20282892.307692308</v>
      </c>
      <c r="E108" s="82">
        <v>4763007.1476699999</v>
      </c>
      <c r="F108" s="109"/>
      <c r="G108" s="112"/>
    </row>
    <row r="109" spans="1:7" x14ac:dyDescent="0.2">
      <c r="A109" s="110">
        <v>41974</v>
      </c>
      <c r="B109" s="120">
        <f t="shared" si="6"/>
        <v>2014</v>
      </c>
      <c r="C109" s="120">
        <f t="shared" si="7"/>
        <v>12</v>
      </c>
      <c r="D109" s="82">
        <v>22057292.307692308</v>
      </c>
      <c r="E109" s="82">
        <v>5830346.3885199996</v>
      </c>
      <c r="F109" s="109"/>
      <c r="G109" s="112"/>
    </row>
    <row r="110" spans="1:7" x14ac:dyDescent="0.2">
      <c r="A110" s="110">
        <v>42005</v>
      </c>
      <c r="B110" s="120">
        <f t="shared" si="6"/>
        <v>2015</v>
      </c>
      <c r="C110" s="120">
        <f t="shared" si="7"/>
        <v>1</v>
      </c>
      <c r="D110" s="82">
        <v>24198407.692307692</v>
      </c>
      <c r="E110" s="82">
        <v>6302302.4270000001</v>
      </c>
      <c r="F110" s="109"/>
      <c r="G110" s="112"/>
    </row>
    <row r="111" spans="1:7" x14ac:dyDescent="0.2">
      <c r="A111" s="110">
        <v>42036</v>
      </c>
      <c r="B111" s="120">
        <f t="shared" si="6"/>
        <v>2015</v>
      </c>
      <c r="C111" s="120">
        <f t="shared" si="7"/>
        <v>2</v>
      </c>
      <c r="D111" s="82">
        <v>22363023.07692308</v>
      </c>
      <c r="E111" s="82">
        <v>7035744.3120299997</v>
      </c>
      <c r="F111" s="109"/>
      <c r="G111" s="112"/>
    </row>
    <row r="112" spans="1:7" x14ac:dyDescent="0.2">
      <c r="A112" s="110">
        <v>42064</v>
      </c>
      <c r="B112" s="120">
        <f t="shared" si="6"/>
        <v>2015</v>
      </c>
      <c r="C112" s="120">
        <f t="shared" si="7"/>
        <v>3</v>
      </c>
      <c r="D112" s="82">
        <v>20856446.153846156</v>
      </c>
      <c r="E112" s="82">
        <v>6572816.4936800003</v>
      </c>
      <c r="F112" s="109"/>
      <c r="G112" s="112"/>
    </row>
    <row r="113" spans="1:41" x14ac:dyDescent="0.2">
      <c r="A113" s="110">
        <v>42095</v>
      </c>
      <c r="B113" s="120">
        <f t="shared" si="6"/>
        <v>2015</v>
      </c>
      <c r="C113" s="120">
        <f t="shared" si="7"/>
        <v>4</v>
      </c>
      <c r="D113" s="82">
        <v>17544146.153846156</v>
      </c>
      <c r="E113" s="82">
        <v>5776693.9478900004</v>
      </c>
      <c r="F113" s="109"/>
      <c r="G113" s="112"/>
    </row>
    <row r="114" spans="1:41" x14ac:dyDescent="0.2">
      <c r="A114" s="110">
        <v>42125</v>
      </c>
      <c r="B114" s="120">
        <f t="shared" si="6"/>
        <v>2015</v>
      </c>
      <c r="C114" s="120">
        <f t="shared" si="7"/>
        <v>5</v>
      </c>
      <c r="D114" s="82">
        <v>17949553.846153844</v>
      </c>
      <c r="E114" s="82">
        <v>4635765.9455300011</v>
      </c>
      <c r="F114" s="109"/>
      <c r="G114" s="112"/>
    </row>
    <row r="115" spans="1:41" x14ac:dyDescent="0.2">
      <c r="A115" s="110">
        <v>42156</v>
      </c>
      <c r="B115" s="120">
        <f t="shared" si="6"/>
        <v>2015</v>
      </c>
      <c r="C115" s="120">
        <f t="shared" si="7"/>
        <v>6</v>
      </c>
      <c r="D115" s="82">
        <v>20138192.307692308</v>
      </c>
      <c r="E115" s="82">
        <v>4475709.7344300002</v>
      </c>
      <c r="F115" s="109"/>
      <c r="G115" s="112"/>
    </row>
    <row r="116" spans="1:41" x14ac:dyDescent="0.2">
      <c r="A116" s="110">
        <v>42186</v>
      </c>
      <c r="B116" s="120">
        <f t="shared" si="6"/>
        <v>2015</v>
      </c>
      <c r="C116" s="120">
        <f t="shared" si="7"/>
        <v>7</v>
      </c>
      <c r="D116" s="82">
        <v>23747715.384615384</v>
      </c>
      <c r="E116" s="82">
        <v>5049557.6763899997</v>
      </c>
      <c r="F116" s="109"/>
      <c r="G116" s="112"/>
    </row>
    <row r="117" spans="1:41" x14ac:dyDescent="0.2">
      <c r="A117" s="110">
        <v>42217</v>
      </c>
      <c r="B117" s="120">
        <f t="shared" si="6"/>
        <v>2015</v>
      </c>
      <c r="C117" s="120">
        <f t="shared" si="7"/>
        <v>8</v>
      </c>
      <c r="D117" s="82">
        <v>23252784.615384616</v>
      </c>
      <c r="E117" s="82">
        <v>6174414.08421</v>
      </c>
      <c r="F117" s="109"/>
      <c r="G117" s="112"/>
    </row>
    <row r="118" spans="1:41" x14ac:dyDescent="0.2">
      <c r="A118" s="110">
        <v>42248</v>
      </c>
      <c r="B118" s="120">
        <f t="shared" si="6"/>
        <v>2015</v>
      </c>
      <c r="C118" s="120">
        <f t="shared" si="7"/>
        <v>9</v>
      </c>
      <c r="D118" s="82">
        <v>21319146.153846156</v>
      </c>
      <c r="E118" s="82">
        <v>6162164.3651700001</v>
      </c>
      <c r="F118" s="109"/>
      <c r="G118" s="112"/>
    </row>
    <row r="119" spans="1:41" x14ac:dyDescent="0.2">
      <c r="A119" s="110">
        <v>42278</v>
      </c>
      <c r="B119" s="120">
        <f t="shared" si="6"/>
        <v>2015</v>
      </c>
      <c r="C119" s="120">
        <f t="shared" si="7"/>
        <v>10</v>
      </c>
      <c r="D119" s="82">
        <v>17917492.307692308</v>
      </c>
      <c r="E119" s="82">
        <v>5558407.3692600001</v>
      </c>
      <c r="F119" s="109"/>
      <c r="G119" s="112"/>
    </row>
    <row r="120" spans="1:41" x14ac:dyDescent="0.2">
      <c r="A120" s="110">
        <v>42309</v>
      </c>
      <c r="B120" s="120">
        <f t="shared" si="6"/>
        <v>2015</v>
      </c>
      <c r="C120" s="120">
        <f t="shared" si="7"/>
        <v>11</v>
      </c>
      <c r="D120" s="82">
        <v>18378200</v>
      </c>
      <c r="E120" s="82">
        <v>4750486.3030199995</v>
      </c>
      <c r="F120" s="109"/>
      <c r="G120" s="112"/>
    </row>
    <row r="121" spans="1:41" x14ac:dyDescent="0.2">
      <c r="A121" s="110">
        <v>42339</v>
      </c>
      <c r="B121" s="120">
        <f t="shared" si="6"/>
        <v>2015</v>
      </c>
      <c r="C121" s="120">
        <f t="shared" si="7"/>
        <v>12</v>
      </c>
      <c r="D121" s="82">
        <v>20053746.153846152</v>
      </c>
      <c r="E121" s="82">
        <v>4791973.1588400006</v>
      </c>
      <c r="F121" s="109"/>
      <c r="G121" s="112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</row>
    <row r="122" spans="1:41" x14ac:dyDescent="0.2">
      <c r="A122" s="110">
        <v>42370</v>
      </c>
      <c r="B122" s="120">
        <f t="shared" si="6"/>
        <v>2016</v>
      </c>
      <c r="C122" s="120">
        <f t="shared" si="7"/>
        <v>1</v>
      </c>
      <c r="D122" s="82">
        <v>22182546.149999999</v>
      </c>
      <c r="E122" s="82">
        <v>5334292.6764200004</v>
      </c>
      <c r="F122" s="109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</row>
    <row r="123" spans="1:41" x14ac:dyDescent="0.2">
      <c r="A123" s="110">
        <v>42401</v>
      </c>
      <c r="B123" s="120">
        <f t="shared" si="6"/>
        <v>2016</v>
      </c>
      <c r="C123" s="120">
        <f t="shared" si="7"/>
        <v>2</v>
      </c>
      <c r="D123" s="82">
        <v>19893038.460000001</v>
      </c>
      <c r="E123" s="82">
        <v>5987933.8334400002</v>
      </c>
      <c r="F123" s="109"/>
    </row>
    <row r="124" spans="1:41" x14ac:dyDescent="0.2">
      <c r="A124" s="110">
        <v>42430</v>
      </c>
      <c r="B124" s="120">
        <f t="shared" si="6"/>
        <v>2016</v>
      </c>
      <c r="C124" s="120">
        <f t="shared" si="7"/>
        <v>3</v>
      </c>
      <c r="D124" s="82">
        <v>19158792.309999999</v>
      </c>
      <c r="E124" s="82">
        <v>5265686.2439099997</v>
      </c>
      <c r="F124" s="109"/>
    </row>
    <row r="125" spans="1:41" x14ac:dyDescent="0.2">
      <c r="A125" s="110">
        <v>42461</v>
      </c>
      <c r="B125" s="120">
        <f t="shared" si="6"/>
        <v>2016</v>
      </c>
      <c r="C125" s="120">
        <f t="shared" si="7"/>
        <v>4</v>
      </c>
      <c r="D125" s="82">
        <v>17454523.079999998</v>
      </c>
      <c r="E125" s="82">
        <v>5097503.1288600005</v>
      </c>
      <c r="F125" s="109"/>
    </row>
    <row r="126" spans="1:41" x14ac:dyDescent="0.2">
      <c r="A126" s="110">
        <v>42491</v>
      </c>
      <c r="B126" s="120">
        <f t="shared" si="6"/>
        <v>2016</v>
      </c>
      <c r="C126" s="120">
        <f t="shared" si="7"/>
        <v>5</v>
      </c>
      <c r="D126" s="82">
        <v>17779684.620000001</v>
      </c>
      <c r="E126" s="82">
        <v>4682979.8852999993</v>
      </c>
      <c r="F126" s="109"/>
    </row>
    <row r="127" spans="1:41" x14ac:dyDescent="0.2">
      <c r="A127" s="110">
        <v>42522</v>
      </c>
      <c r="B127" s="120">
        <f t="shared" si="6"/>
        <v>2016</v>
      </c>
      <c r="C127" s="120">
        <f t="shared" si="7"/>
        <v>6</v>
      </c>
      <c r="D127" s="82">
        <v>21050084.620000001</v>
      </c>
      <c r="E127" s="82">
        <v>4512661.5249999994</v>
      </c>
      <c r="F127" s="109"/>
    </row>
    <row r="128" spans="1:41" x14ac:dyDescent="0.2">
      <c r="A128" s="110">
        <v>42552</v>
      </c>
      <c r="B128" s="120">
        <f t="shared" si="6"/>
        <v>2016</v>
      </c>
      <c r="C128" s="120">
        <f t="shared" si="7"/>
        <v>7</v>
      </c>
      <c r="D128" s="82">
        <v>25290492.309999999</v>
      </c>
      <c r="E128" s="82">
        <v>5292771.1205000002</v>
      </c>
      <c r="F128" s="109"/>
    </row>
    <row r="129" spans="1:6" x14ac:dyDescent="0.2">
      <c r="A129" s="110">
        <v>42583</v>
      </c>
      <c r="B129" s="120">
        <f t="shared" si="6"/>
        <v>2016</v>
      </c>
      <c r="C129" s="120">
        <f t="shared" si="7"/>
        <v>8</v>
      </c>
      <c r="D129" s="82">
        <v>26373046.149999999</v>
      </c>
      <c r="E129" s="82">
        <v>6479248.5064000003</v>
      </c>
      <c r="F129" s="109"/>
    </row>
    <row r="130" spans="1:6" x14ac:dyDescent="0.2">
      <c r="A130" s="110">
        <v>42614</v>
      </c>
      <c r="B130" s="120">
        <f t="shared" si="6"/>
        <v>2016</v>
      </c>
      <c r="C130" s="120">
        <f t="shared" si="7"/>
        <v>9</v>
      </c>
      <c r="D130" s="82">
        <v>19870438.460000001</v>
      </c>
      <c r="E130" s="82">
        <v>6282145.3443000009</v>
      </c>
      <c r="F130" s="109"/>
    </row>
    <row r="131" spans="1:6" x14ac:dyDescent="0.2">
      <c r="A131" s="110">
        <v>42644</v>
      </c>
      <c r="B131" s="120">
        <f t="shared" ref="B131:B181" si="8">YEAR(A131)</f>
        <v>2016</v>
      </c>
      <c r="C131" s="120">
        <f t="shared" ref="C131:C145" si="9">MONTH(A131)</f>
        <v>10</v>
      </c>
      <c r="D131" s="82">
        <v>16662107.689999999</v>
      </c>
      <c r="E131" s="82">
        <v>4626531.6867999993</v>
      </c>
      <c r="F131" s="109"/>
    </row>
    <row r="132" spans="1:6" x14ac:dyDescent="0.2">
      <c r="A132" s="110">
        <v>42675</v>
      </c>
      <c r="B132" s="120">
        <f t="shared" si="8"/>
        <v>2016</v>
      </c>
      <c r="C132" s="120">
        <f t="shared" si="9"/>
        <v>11</v>
      </c>
      <c r="D132" s="82">
        <v>17715484.620000001</v>
      </c>
      <c r="E132" s="82">
        <v>4446124.8939999994</v>
      </c>
      <c r="F132" s="109"/>
    </row>
    <row r="133" spans="1:6" x14ac:dyDescent="0.2">
      <c r="A133" s="110">
        <v>42705</v>
      </c>
      <c r="B133" s="120">
        <f t="shared" si="8"/>
        <v>2016</v>
      </c>
      <c r="C133" s="120">
        <f t="shared" si="9"/>
        <v>12</v>
      </c>
      <c r="D133" s="82">
        <v>21539892.309999999</v>
      </c>
      <c r="E133" s="82">
        <v>4857424.7469000006</v>
      </c>
      <c r="F133" s="109"/>
    </row>
    <row r="134" spans="1:6" x14ac:dyDescent="0.2">
      <c r="A134" s="110">
        <v>42736</v>
      </c>
      <c r="B134" s="120">
        <f t="shared" si="8"/>
        <v>2017</v>
      </c>
      <c r="C134" s="120">
        <f t="shared" si="9"/>
        <v>1</v>
      </c>
      <c r="D134" s="82">
        <v>21332376.190000001</v>
      </c>
      <c r="E134" s="82">
        <v>6043116.9052099995</v>
      </c>
      <c r="F134" s="109"/>
    </row>
    <row r="135" spans="1:6" x14ac:dyDescent="0.2">
      <c r="A135" s="110">
        <v>42767</v>
      </c>
      <c r="B135" s="120">
        <f t="shared" si="8"/>
        <v>2017</v>
      </c>
      <c r="C135" s="120">
        <f t="shared" si="9"/>
        <v>2</v>
      </c>
      <c r="D135" s="82">
        <v>17869619.050000001</v>
      </c>
      <c r="E135" s="82">
        <v>5773386.9743099995</v>
      </c>
      <c r="F135" s="109"/>
    </row>
    <row r="136" spans="1:6" x14ac:dyDescent="0.2">
      <c r="A136" s="110">
        <v>42795</v>
      </c>
      <c r="B136" s="120">
        <f t="shared" si="8"/>
        <v>2017</v>
      </c>
      <c r="C136" s="120">
        <f t="shared" si="9"/>
        <v>3</v>
      </c>
      <c r="D136" s="82">
        <v>19357285.710000001</v>
      </c>
      <c r="E136" s="82">
        <v>4532106.3259899998</v>
      </c>
      <c r="F136" s="109"/>
    </row>
    <row r="137" spans="1:6" x14ac:dyDescent="0.2">
      <c r="A137" s="110">
        <v>42826</v>
      </c>
      <c r="B137" s="120">
        <f t="shared" si="8"/>
        <v>2017</v>
      </c>
      <c r="C137" s="120">
        <f t="shared" si="9"/>
        <v>4</v>
      </c>
      <c r="D137" s="82">
        <v>15858266.67</v>
      </c>
      <c r="E137" s="82">
        <v>4999470.1251299996</v>
      </c>
      <c r="F137" s="109"/>
    </row>
    <row r="138" spans="1:6" x14ac:dyDescent="0.2">
      <c r="A138" s="110">
        <v>42856</v>
      </c>
      <c r="B138" s="120">
        <f t="shared" si="8"/>
        <v>2017</v>
      </c>
      <c r="C138" s="120">
        <f t="shared" si="9"/>
        <v>5</v>
      </c>
      <c r="D138" s="82">
        <v>16800623.809999999</v>
      </c>
      <c r="E138" s="82">
        <v>4088277.3129600002</v>
      </c>
      <c r="F138" s="109"/>
    </row>
    <row r="139" spans="1:6" x14ac:dyDescent="0.2">
      <c r="A139" s="110">
        <v>42887</v>
      </c>
      <c r="B139" s="120">
        <f t="shared" si="8"/>
        <v>2017</v>
      </c>
      <c r="C139" s="120">
        <f t="shared" si="9"/>
        <v>6</v>
      </c>
      <c r="D139" s="82">
        <v>20337761.899999999</v>
      </c>
      <c r="E139" s="82">
        <v>4284257.51064</v>
      </c>
      <c r="F139" s="109"/>
    </row>
    <row r="140" spans="1:6" x14ac:dyDescent="0.2">
      <c r="A140" s="110">
        <v>42917</v>
      </c>
      <c r="B140" s="120">
        <f t="shared" si="8"/>
        <v>2017</v>
      </c>
      <c r="C140" s="120">
        <f t="shared" si="9"/>
        <v>7</v>
      </c>
      <c r="D140" s="82">
        <v>24007900</v>
      </c>
      <c r="E140" s="82">
        <v>5215450.4659299999</v>
      </c>
      <c r="F140" s="109"/>
    </row>
    <row r="141" spans="1:6" x14ac:dyDescent="0.2">
      <c r="A141" s="110">
        <v>42948</v>
      </c>
      <c r="B141" s="120">
        <f t="shared" si="8"/>
        <v>2017</v>
      </c>
      <c r="C141" s="120">
        <f t="shared" si="9"/>
        <v>8</v>
      </c>
      <c r="D141" s="82">
        <v>22370466.670000002</v>
      </c>
      <c r="E141" s="82">
        <v>6434256.0108200004</v>
      </c>
      <c r="F141" s="109"/>
    </row>
    <row r="142" spans="1:6" x14ac:dyDescent="0.2">
      <c r="A142" s="110">
        <v>42979</v>
      </c>
      <c r="B142" s="120">
        <f t="shared" si="8"/>
        <v>2017</v>
      </c>
      <c r="C142" s="120">
        <f t="shared" si="9"/>
        <v>9</v>
      </c>
      <c r="D142" s="82">
        <v>19459266.670000002</v>
      </c>
      <c r="E142" s="82">
        <v>5548386.131719999</v>
      </c>
      <c r="F142" s="109"/>
    </row>
    <row r="143" spans="1:6" x14ac:dyDescent="0.2">
      <c r="A143" s="110">
        <v>43009</v>
      </c>
      <c r="B143" s="120">
        <f t="shared" si="8"/>
        <v>2017</v>
      </c>
      <c r="C143" s="120">
        <f t="shared" si="9"/>
        <v>10</v>
      </c>
      <c r="D143" s="82">
        <v>17820433.329999998</v>
      </c>
      <c r="E143" s="82">
        <v>4645663.9166400004</v>
      </c>
      <c r="F143" s="109"/>
    </row>
    <row r="144" spans="1:6" x14ac:dyDescent="0.2">
      <c r="A144" s="110">
        <v>43040</v>
      </c>
      <c r="B144" s="120">
        <f t="shared" si="8"/>
        <v>2017</v>
      </c>
      <c r="C144" s="120">
        <f t="shared" si="9"/>
        <v>11</v>
      </c>
      <c r="D144" s="82">
        <v>18956833.329999998</v>
      </c>
      <c r="E144" s="82">
        <v>4342402.4035</v>
      </c>
      <c r="F144" s="109"/>
    </row>
    <row r="145" spans="1:6" x14ac:dyDescent="0.2">
      <c r="A145" s="110">
        <v>43070</v>
      </c>
      <c r="B145" s="120">
        <f t="shared" si="8"/>
        <v>2017</v>
      </c>
      <c r="C145" s="120">
        <f t="shared" si="9"/>
        <v>12</v>
      </c>
      <c r="D145" s="82">
        <v>21888466.670000002</v>
      </c>
      <c r="E145" s="82">
        <v>4764981.3563499991</v>
      </c>
      <c r="F145" s="109"/>
    </row>
    <row r="146" spans="1:6" x14ac:dyDescent="0.2">
      <c r="A146" s="110">
        <v>43101</v>
      </c>
      <c r="B146" s="120">
        <f t="shared" si="8"/>
        <v>2018</v>
      </c>
      <c r="C146" s="121" t="s">
        <v>55</v>
      </c>
      <c r="D146" s="82">
        <v>22905166.670000002</v>
      </c>
      <c r="E146" s="82">
        <v>6151832.5779499998</v>
      </c>
      <c r="F146" s="109"/>
    </row>
    <row r="147" spans="1:6" x14ac:dyDescent="0.2">
      <c r="A147" s="110">
        <v>43132</v>
      </c>
      <c r="B147" s="120">
        <f t="shared" si="8"/>
        <v>2018</v>
      </c>
      <c r="C147" s="121" t="s">
        <v>56</v>
      </c>
      <c r="D147" s="82">
        <v>19173200</v>
      </c>
      <c r="E147" s="82">
        <v>6440644.0073600002</v>
      </c>
      <c r="F147" s="109"/>
    </row>
    <row r="148" spans="1:6" x14ac:dyDescent="0.2">
      <c r="A148" s="110">
        <v>43160</v>
      </c>
      <c r="B148" s="120">
        <f t="shared" si="8"/>
        <v>2018</v>
      </c>
      <c r="C148" s="121" t="s">
        <v>57</v>
      </c>
      <c r="D148" s="82">
        <v>19615300</v>
      </c>
      <c r="E148" s="82">
        <v>5212612.5706799999</v>
      </c>
      <c r="F148" s="109"/>
    </row>
    <row r="149" spans="1:6" x14ac:dyDescent="0.2">
      <c r="A149" s="110">
        <v>43191</v>
      </c>
      <c r="B149" s="120">
        <f t="shared" si="8"/>
        <v>2018</v>
      </c>
      <c r="C149" s="121" t="s">
        <v>58</v>
      </c>
      <c r="D149" s="82">
        <v>17899266.670000002</v>
      </c>
      <c r="E149" s="82">
        <v>5278300.1626599999</v>
      </c>
      <c r="F149" s="109"/>
    </row>
    <row r="150" spans="1:6" x14ac:dyDescent="0.2">
      <c r="A150" s="110">
        <v>43221</v>
      </c>
      <c r="B150" s="120">
        <f t="shared" si="8"/>
        <v>2018</v>
      </c>
      <c r="C150" s="121" t="s">
        <v>46</v>
      </c>
      <c r="D150" s="82">
        <v>18615766.670000002</v>
      </c>
      <c r="E150" s="82">
        <v>4734709.4106999999</v>
      </c>
      <c r="F150" s="109"/>
    </row>
    <row r="151" spans="1:6" x14ac:dyDescent="0.2">
      <c r="A151" s="110">
        <v>43252</v>
      </c>
      <c r="B151" s="120">
        <f t="shared" si="8"/>
        <v>2018</v>
      </c>
      <c r="C151" s="121" t="s">
        <v>59</v>
      </c>
      <c r="D151" s="82">
        <v>21326300</v>
      </c>
      <c r="E151" s="82">
        <v>4591129.8232199997</v>
      </c>
      <c r="F151" s="109"/>
    </row>
    <row r="152" spans="1:6" x14ac:dyDescent="0.2">
      <c r="A152" s="110">
        <v>43282</v>
      </c>
      <c r="B152" s="120">
        <f t="shared" si="8"/>
        <v>2018</v>
      </c>
      <c r="C152" s="121" t="s">
        <v>60</v>
      </c>
      <c r="D152" s="82">
        <v>25954933.329999998</v>
      </c>
      <c r="E152" s="82">
        <v>5430424.4713999992</v>
      </c>
      <c r="F152" s="109"/>
    </row>
    <row r="153" spans="1:6" x14ac:dyDescent="0.2">
      <c r="A153" s="110">
        <v>43313</v>
      </c>
      <c r="B153" s="120">
        <f t="shared" si="8"/>
        <v>2018</v>
      </c>
      <c r="C153" s="121" t="s">
        <v>61</v>
      </c>
      <c r="D153" s="82">
        <v>26266700</v>
      </c>
      <c r="E153" s="82">
        <v>6859623.5653199991</v>
      </c>
      <c r="F153" s="109"/>
    </row>
    <row r="154" spans="1:6" x14ac:dyDescent="0.2">
      <c r="A154" s="110">
        <v>43344</v>
      </c>
      <c r="B154" s="120">
        <f t="shared" si="8"/>
        <v>2018</v>
      </c>
      <c r="C154" s="121" t="s">
        <v>62</v>
      </c>
      <c r="D154" s="82">
        <v>21262033.329999998</v>
      </c>
      <c r="E154" s="82">
        <v>6876333.0363399992</v>
      </c>
      <c r="F154" s="109"/>
    </row>
    <row r="155" spans="1:6" x14ac:dyDescent="0.2">
      <c r="A155" s="110">
        <v>43374</v>
      </c>
      <c r="B155" s="120">
        <f t="shared" si="8"/>
        <v>2018</v>
      </c>
      <c r="C155" s="121" t="s">
        <v>63</v>
      </c>
      <c r="D155" s="82">
        <v>18523233.329999998</v>
      </c>
      <c r="E155" s="82">
        <v>5435062.2424600003</v>
      </c>
      <c r="F155" s="109"/>
    </row>
    <row r="156" spans="1:6" x14ac:dyDescent="0.2">
      <c r="A156" s="110">
        <v>43405</v>
      </c>
      <c r="B156" s="120">
        <f t="shared" si="8"/>
        <v>2018</v>
      </c>
      <c r="C156" s="121" t="s">
        <v>64</v>
      </c>
      <c r="D156" s="82">
        <v>19925200</v>
      </c>
      <c r="E156" s="82">
        <v>4664771.2834799998</v>
      </c>
      <c r="F156" s="109"/>
    </row>
    <row r="157" spans="1:6" x14ac:dyDescent="0.2">
      <c r="A157" s="110">
        <v>43435</v>
      </c>
      <c r="B157" s="120">
        <f t="shared" si="8"/>
        <v>2018</v>
      </c>
      <c r="C157" s="121" t="s">
        <v>65</v>
      </c>
      <c r="D157" s="82">
        <v>21085833.329999998</v>
      </c>
      <c r="E157" s="82">
        <v>5355771.8004999999</v>
      </c>
      <c r="F157" s="109"/>
    </row>
    <row r="158" spans="1:6" x14ac:dyDescent="0.2">
      <c r="A158" s="110">
        <v>43466</v>
      </c>
      <c r="B158" s="120">
        <f t="shared" si="8"/>
        <v>2019</v>
      </c>
      <c r="C158" s="121" t="s">
        <v>55</v>
      </c>
      <c r="D158" s="82">
        <v>22756420</v>
      </c>
      <c r="E158" s="82">
        <v>5895781.54538</v>
      </c>
      <c r="F158" s="109"/>
    </row>
    <row r="159" spans="1:6" x14ac:dyDescent="0.2">
      <c r="A159" s="110">
        <v>43497</v>
      </c>
      <c r="B159" s="120">
        <f t="shared" si="8"/>
        <v>2019</v>
      </c>
      <c r="C159" s="121" t="s">
        <v>56</v>
      </c>
      <c r="D159" s="82">
        <v>20319680</v>
      </c>
      <c r="E159" s="82">
        <v>6344426.8998599993</v>
      </c>
      <c r="F159" s="109"/>
    </row>
    <row r="160" spans="1:6" x14ac:dyDescent="0.2">
      <c r="A160" s="110">
        <v>43525</v>
      </c>
      <c r="B160" s="120">
        <f t="shared" si="8"/>
        <v>2019</v>
      </c>
      <c r="C160" s="121" t="s">
        <v>57</v>
      </c>
      <c r="D160" s="82">
        <v>20479900</v>
      </c>
      <c r="E160" s="82">
        <v>5629704.5296799997</v>
      </c>
      <c r="F160" s="109"/>
    </row>
    <row r="161" spans="1:6" x14ac:dyDescent="0.2">
      <c r="A161" s="110">
        <v>43556</v>
      </c>
      <c r="B161" s="120">
        <f t="shared" si="8"/>
        <v>2019</v>
      </c>
      <c r="C161" s="121" t="s">
        <v>58</v>
      </c>
      <c r="D161" s="82">
        <v>17330880</v>
      </c>
      <c r="E161" s="82">
        <v>5550926.9573600003</v>
      </c>
      <c r="F161" s="109"/>
    </row>
    <row r="162" spans="1:6" x14ac:dyDescent="0.2">
      <c r="A162" s="110">
        <v>43586</v>
      </c>
      <c r="B162" s="120">
        <f t="shared" si="8"/>
        <v>2019</v>
      </c>
      <c r="C162" s="121" t="s">
        <v>46</v>
      </c>
      <c r="D162" s="82">
        <v>17274480</v>
      </c>
      <c r="E162" s="82">
        <v>4483993.9671200002</v>
      </c>
      <c r="F162" s="109"/>
    </row>
    <row r="163" spans="1:6" x14ac:dyDescent="0.2">
      <c r="A163" s="110">
        <v>43617</v>
      </c>
      <c r="B163" s="120">
        <f t="shared" si="8"/>
        <v>2019</v>
      </c>
      <c r="C163" s="121" t="s">
        <v>59</v>
      </c>
      <c r="D163" s="82">
        <v>19386900</v>
      </c>
      <c r="E163" s="82">
        <v>4311188.5068800002</v>
      </c>
      <c r="F163" s="109"/>
    </row>
    <row r="164" spans="1:6" x14ac:dyDescent="0.2">
      <c r="A164" s="110">
        <v>43647</v>
      </c>
      <c r="B164" s="120">
        <f t="shared" si="8"/>
        <v>2019</v>
      </c>
      <c r="C164" s="121" t="s">
        <v>60</v>
      </c>
      <c r="D164" s="82">
        <v>27626160</v>
      </c>
      <c r="E164" s="82">
        <v>4945910.2180999992</v>
      </c>
      <c r="F164" s="109"/>
    </row>
    <row r="165" spans="1:6" x14ac:dyDescent="0.2">
      <c r="A165" s="110">
        <v>43678</v>
      </c>
      <c r="B165" s="120">
        <f t="shared" si="8"/>
        <v>2019</v>
      </c>
      <c r="C165" s="121" t="s">
        <v>61</v>
      </c>
      <c r="D165" s="82">
        <v>24612440</v>
      </c>
      <c r="E165" s="82">
        <v>7444291.86326</v>
      </c>
      <c r="F165" s="109"/>
    </row>
    <row r="166" spans="1:6" x14ac:dyDescent="0.2">
      <c r="A166" s="110">
        <v>43709</v>
      </c>
      <c r="B166" s="120">
        <f t="shared" si="8"/>
        <v>2019</v>
      </c>
      <c r="C166" s="121" t="s">
        <v>62</v>
      </c>
      <c r="D166" s="82">
        <v>20453280</v>
      </c>
      <c r="E166" s="82">
        <v>6404989.5357000008</v>
      </c>
      <c r="F166" s="109"/>
    </row>
    <row r="167" spans="1:6" x14ac:dyDescent="0.2">
      <c r="A167" s="110">
        <v>43739</v>
      </c>
      <c r="B167" s="120">
        <f t="shared" si="8"/>
        <v>2019</v>
      </c>
      <c r="C167" s="121" t="s">
        <v>63</v>
      </c>
      <c r="D167" s="82">
        <v>17608300</v>
      </c>
      <c r="E167" s="82">
        <v>5117054.9380399995</v>
      </c>
      <c r="F167" s="109"/>
    </row>
    <row r="168" spans="1:6" x14ac:dyDescent="0.2">
      <c r="A168" s="110">
        <v>43770</v>
      </c>
      <c r="B168" s="120">
        <f t="shared" si="8"/>
        <v>2019</v>
      </c>
      <c r="C168" s="121" t="s">
        <v>64</v>
      </c>
      <c r="D168" s="82">
        <v>19781220</v>
      </c>
      <c r="E168" s="82">
        <v>4459105.9743999988</v>
      </c>
      <c r="F168" s="109"/>
    </row>
    <row r="169" spans="1:6" x14ac:dyDescent="0.2">
      <c r="A169" s="110">
        <v>43800</v>
      </c>
      <c r="B169" s="120">
        <f t="shared" si="8"/>
        <v>2019</v>
      </c>
      <c r="C169" s="121" t="s">
        <v>65</v>
      </c>
      <c r="D169" s="82">
        <v>21302160</v>
      </c>
      <c r="E169" s="82">
        <v>5345813.8230799995</v>
      </c>
      <c r="F169" s="109"/>
    </row>
    <row r="170" spans="1:6" x14ac:dyDescent="0.2">
      <c r="A170" s="110">
        <v>43831</v>
      </c>
      <c r="B170" s="120">
        <f t="shared" si="8"/>
        <v>2020</v>
      </c>
      <c r="C170" s="121" t="s">
        <v>55</v>
      </c>
      <c r="D170" s="82">
        <v>21866419.999999996</v>
      </c>
      <c r="E170" s="82">
        <v>5957914.3985799998</v>
      </c>
      <c r="F170" s="109"/>
    </row>
    <row r="171" spans="1:6" x14ac:dyDescent="0.2">
      <c r="A171" s="110">
        <v>43862</v>
      </c>
      <c r="B171" s="120">
        <f t="shared" si="8"/>
        <v>2020</v>
      </c>
      <c r="C171" s="121" t="s">
        <v>56</v>
      </c>
      <c r="D171" s="82">
        <v>20225660</v>
      </c>
      <c r="E171" s="82">
        <v>5929405.9422800001</v>
      </c>
      <c r="F171" s="109"/>
    </row>
    <row r="172" spans="1:6" x14ac:dyDescent="0.2">
      <c r="A172" s="110">
        <v>43891</v>
      </c>
      <c r="B172" s="120">
        <f t="shared" si="8"/>
        <v>2020</v>
      </c>
      <c r="C172" s="121" t="s">
        <v>57</v>
      </c>
      <c r="D172" s="82">
        <v>19574300</v>
      </c>
      <c r="E172" s="82">
        <v>5454114.7809799993</v>
      </c>
      <c r="F172" s="109"/>
    </row>
    <row r="173" spans="1:6" x14ac:dyDescent="0.2">
      <c r="A173" s="110">
        <v>43922</v>
      </c>
      <c r="B173" s="120">
        <f t="shared" si="8"/>
        <v>2020</v>
      </c>
      <c r="C173" s="121" t="s">
        <v>58</v>
      </c>
      <c r="D173" s="82">
        <v>16976080</v>
      </c>
      <c r="E173" s="82">
        <v>5165860.59626</v>
      </c>
      <c r="F173" s="109"/>
    </row>
    <row r="174" spans="1:6" x14ac:dyDescent="0.2">
      <c r="A174" s="110">
        <v>43952</v>
      </c>
      <c r="B174" s="120">
        <f t="shared" si="8"/>
        <v>2020</v>
      </c>
      <c r="C174" s="121" t="s">
        <v>46</v>
      </c>
      <c r="D174" s="82">
        <v>17713720</v>
      </c>
      <c r="E174" s="82">
        <v>4799083.8038800005</v>
      </c>
      <c r="F174" s="109"/>
    </row>
    <row r="175" spans="1:6" x14ac:dyDescent="0.2">
      <c r="A175" s="110">
        <v>43983</v>
      </c>
      <c r="B175" s="120">
        <f t="shared" si="8"/>
        <v>2020</v>
      </c>
      <c r="C175" s="121" t="s">
        <v>59</v>
      </c>
      <c r="D175" s="82">
        <v>22065520</v>
      </c>
      <c r="E175" s="82">
        <v>4820394.2487199996</v>
      </c>
      <c r="F175" s="109"/>
    </row>
    <row r="176" spans="1:6" x14ac:dyDescent="0.2">
      <c r="A176" s="110">
        <v>44013</v>
      </c>
      <c r="B176" s="120">
        <f t="shared" si="8"/>
        <v>2020</v>
      </c>
      <c r="C176" s="121" t="s">
        <v>60</v>
      </c>
      <c r="D176" s="82">
        <v>28192460</v>
      </c>
      <c r="E176" s="82">
        <v>5894883.4938199995</v>
      </c>
      <c r="F176" s="109"/>
    </row>
    <row r="177" spans="1:7" x14ac:dyDescent="0.2">
      <c r="A177" s="110">
        <v>44044</v>
      </c>
      <c r="B177" s="120">
        <f t="shared" si="8"/>
        <v>2020</v>
      </c>
      <c r="C177" s="121" t="s">
        <v>61</v>
      </c>
      <c r="D177" s="82">
        <v>24252200</v>
      </c>
      <c r="E177" s="82">
        <v>7735321.2992799999</v>
      </c>
      <c r="F177" s="109"/>
    </row>
    <row r="178" spans="1:7" x14ac:dyDescent="0.2">
      <c r="A178" s="110">
        <v>44075</v>
      </c>
      <c r="B178" s="120">
        <f t="shared" si="8"/>
        <v>2020</v>
      </c>
      <c r="C178" s="121" t="s">
        <v>62</v>
      </c>
      <c r="D178" s="82">
        <v>18691553.740000002</v>
      </c>
      <c r="E178" s="82">
        <v>6564005.04648</v>
      </c>
      <c r="F178" s="109"/>
      <c r="G178" s="113"/>
    </row>
    <row r="179" spans="1:7" x14ac:dyDescent="0.2">
      <c r="A179" s="110">
        <v>44105</v>
      </c>
      <c r="B179" s="120">
        <f t="shared" si="8"/>
        <v>2020</v>
      </c>
      <c r="C179" s="121" t="s">
        <v>63</v>
      </c>
      <c r="D179" s="82">
        <v>17010864.789999999</v>
      </c>
      <c r="E179" s="82">
        <v>4055885.1912000002</v>
      </c>
      <c r="F179" s="109"/>
      <c r="G179" s="113"/>
    </row>
    <row r="180" spans="1:7" x14ac:dyDescent="0.2">
      <c r="A180" s="110">
        <v>44136</v>
      </c>
      <c r="B180" s="120">
        <f t="shared" si="8"/>
        <v>2020</v>
      </c>
      <c r="C180" s="121" t="s">
        <v>64</v>
      </c>
      <c r="D180" s="82">
        <v>18253434</v>
      </c>
      <c r="E180" s="82">
        <v>3115295.0272399997</v>
      </c>
      <c r="F180" s="109"/>
      <c r="G180" s="113"/>
    </row>
    <row r="181" spans="1:7" x14ac:dyDescent="0.2">
      <c r="A181" s="110">
        <v>44166</v>
      </c>
      <c r="B181" s="120">
        <f t="shared" si="8"/>
        <v>2020</v>
      </c>
      <c r="C181" s="121" t="s">
        <v>65</v>
      </c>
      <c r="D181" s="82">
        <v>20812463</v>
      </c>
      <c r="E181" s="82">
        <v>3241021.68352</v>
      </c>
      <c r="F181" s="122"/>
      <c r="G181" s="113"/>
    </row>
    <row r="182" spans="1:7" x14ac:dyDescent="0.2">
      <c r="A182" s="107"/>
      <c r="B182" s="107"/>
      <c r="C182" s="107"/>
    </row>
    <row r="183" spans="1:7" x14ac:dyDescent="0.2">
      <c r="A183" s="107"/>
      <c r="B183" s="107"/>
      <c r="C183" s="107"/>
    </row>
    <row r="184" spans="1:7" x14ac:dyDescent="0.2">
      <c r="A184" s="107"/>
      <c r="B184" s="107"/>
      <c r="C184" s="107"/>
    </row>
    <row r="185" spans="1:7" x14ac:dyDescent="0.2">
      <c r="A185" s="107"/>
      <c r="B185" s="107"/>
      <c r="C185" s="107"/>
    </row>
    <row r="186" spans="1:7" x14ac:dyDescent="0.2">
      <c r="A186" s="107"/>
      <c r="B186" s="107"/>
      <c r="C186" s="107"/>
    </row>
    <row r="187" spans="1:7" x14ac:dyDescent="0.2">
      <c r="A187" s="107"/>
      <c r="B187" s="107"/>
      <c r="C187" s="107"/>
    </row>
    <row r="188" spans="1:7" x14ac:dyDescent="0.2">
      <c r="A188" s="107"/>
      <c r="B188" s="107"/>
      <c r="C188" s="107"/>
    </row>
    <row r="189" spans="1:7" x14ac:dyDescent="0.2">
      <c r="A189" s="107"/>
      <c r="B189" s="107"/>
      <c r="C189" s="107"/>
    </row>
    <row r="190" spans="1:7" x14ac:dyDescent="0.2">
      <c r="A190" s="107"/>
      <c r="B190" s="107"/>
      <c r="C190" s="107"/>
    </row>
    <row r="191" spans="1:7" x14ac:dyDescent="0.2">
      <c r="A191" s="107"/>
      <c r="B191" s="107"/>
      <c r="C191" s="107"/>
    </row>
    <row r="192" spans="1:7" x14ac:dyDescent="0.2">
      <c r="A192" s="107"/>
      <c r="B192" s="107"/>
      <c r="C192" s="107"/>
    </row>
    <row r="193" spans="1:3" x14ac:dyDescent="0.2">
      <c r="A193" s="107"/>
      <c r="B193" s="107"/>
      <c r="C193" s="107"/>
    </row>
    <row r="194" spans="1:3" x14ac:dyDescent="0.2">
      <c r="A194" s="107"/>
      <c r="B194" s="107"/>
      <c r="C194" s="107"/>
    </row>
    <row r="195" spans="1:3" x14ac:dyDescent="0.2">
      <c r="A195" s="107"/>
      <c r="B195" s="107"/>
      <c r="C195" s="107"/>
    </row>
    <row r="196" spans="1:3" x14ac:dyDescent="0.2">
      <c r="A196" s="107"/>
      <c r="B196" s="107"/>
      <c r="C196" s="107"/>
    </row>
    <row r="197" spans="1:3" x14ac:dyDescent="0.2">
      <c r="A197" s="107"/>
      <c r="B197" s="107"/>
      <c r="C197" s="107"/>
    </row>
    <row r="198" spans="1:3" x14ac:dyDescent="0.2">
      <c r="A198" s="107"/>
      <c r="B198" s="107"/>
      <c r="C198" s="107"/>
    </row>
    <row r="199" spans="1:3" x14ac:dyDescent="0.2">
      <c r="A199" s="107"/>
      <c r="B199" s="107"/>
      <c r="C199" s="107"/>
    </row>
    <row r="200" spans="1:3" x14ac:dyDescent="0.2">
      <c r="A200" s="107"/>
      <c r="B200" s="107"/>
      <c r="C200" s="107"/>
    </row>
    <row r="201" spans="1:3" x14ac:dyDescent="0.2">
      <c r="A201" s="107"/>
      <c r="B201" s="107"/>
      <c r="C201" s="107"/>
    </row>
    <row r="202" spans="1:3" x14ac:dyDescent="0.2">
      <c r="A202" s="107"/>
      <c r="B202" s="107"/>
      <c r="C202" s="107"/>
    </row>
    <row r="203" spans="1:3" x14ac:dyDescent="0.2">
      <c r="A203" s="107"/>
      <c r="B203" s="107"/>
      <c r="C203" s="107"/>
    </row>
    <row r="204" spans="1:3" x14ac:dyDescent="0.2">
      <c r="A204" s="107"/>
      <c r="B204" s="107"/>
      <c r="C204" s="107"/>
    </row>
    <row r="205" spans="1:3" x14ac:dyDescent="0.2">
      <c r="A205" s="107"/>
      <c r="B205" s="107"/>
      <c r="C205" s="107"/>
    </row>
    <row r="206" spans="1:3" x14ac:dyDescent="0.2">
      <c r="A206" s="107"/>
      <c r="B206" s="107"/>
      <c r="C206" s="107"/>
    </row>
    <row r="207" spans="1:3" x14ac:dyDescent="0.2">
      <c r="A207" s="107"/>
      <c r="B207" s="107"/>
      <c r="C207" s="107"/>
    </row>
    <row r="208" spans="1:3" x14ac:dyDescent="0.2">
      <c r="A208" s="107"/>
      <c r="B208" s="107"/>
      <c r="C208" s="107"/>
    </row>
    <row r="209" spans="1:3" x14ac:dyDescent="0.2">
      <c r="A209" s="107"/>
      <c r="B209" s="107"/>
      <c r="C209" s="107"/>
    </row>
    <row r="210" spans="1:3" x14ac:dyDescent="0.2">
      <c r="A210" s="107"/>
      <c r="B210" s="107"/>
      <c r="C210" s="107"/>
    </row>
    <row r="211" spans="1:3" x14ac:dyDescent="0.2">
      <c r="A211" s="107"/>
      <c r="B211" s="107"/>
      <c r="C211" s="107"/>
    </row>
    <row r="212" spans="1:3" x14ac:dyDescent="0.2">
      <c r="A212" s="107"/>
      <c r="B212" s="107"/>
      <c r="C212" s="107"/>
    </row>
    <row r="213" spans="1:3" x14ac:dyDescent="0.2">
      <c r="A213" s="107"/>
      <c r="B213" s="107"/>
      <c r="C213" s="107"/>
    </row>
    <row r="214" spans="1:3" x14ac:dyDescent="0.2">
      <c r="A214" s="107"/>
      <c r="B214" s="107"/>
      <c r="C214" s="107"/>
    </row>
    <row r="215" spans="1:3" x14ac:dyDescent="0.2">
      <c r="A215" s="107"/>
      <c r="B215" s="107"/>
      <c r="C215" s="107"/>
    </row>
    <row r="216" spans="1:3" x14ac:dyDescent="0.2">
      <c r="A216" s="107"/>
      <c r="B216" s="107"/>
      <c r="C216" s="107"/>
    </row>
    <row r="217" spans="1:3" x14ac:dyDescent="0.2">
      <c r="A217" s="107"/>
      <c r="B217" s="107"/>
      <c r="C217" s="107"/>
    </row>
    <row r="218" spans="1:3" x14ac:dyDescent="0.2">
      <c r="A218" s="107"/>
      <c r="B218" s="107"/>
      <c r="C218" s="107"/>
    </row>
    <row r="219" spans="1:3" x14ac:dyDescent="0.2">
      <c r="A219" s="107"/>
      <c r="B219" s="107"/>
      <c r="C219" s="107"/>
    </row>
    <row r="220" spans="1:3" x14ac:dyDescent="0.2">
      <c r="A220" s="107"/>
      <c r="B220" s="107"/>
      <c r="C220" s="107"/>
    </row>
    <row r="221" spans="1:3" x14ac:dyDescent="0.2">
      <c r="A221" s="107"/>
      <c r="B221" s="107"/>
      <c r="C221" s="107"/>
    </row>
    <row r="222" spans="1:3" x14ac:dyDescent="0.2">
      <c r="A222" s="107"/>
      <c r="B222" s="107"/>
      <c r="C222" s="107"/>
    </row>
    <row r="223" spans="1:3" x14ac:dyDescent="0.2">
      <c r="A223" s="107"/>
      <c r="B223" s="107"/>
      <c r="C223" s="107"/>
    </row>
    <row r="224" spans="1:3" x14ac:dyDescent="0.2">
      <c r="A224" s="107"/>
      <c r="B224" s="107"/>
      <c r="C224" s="107"/>
    </row>
    <row r="225" spans="1:3" x14ac:dyDescent="0.2">
      <c r="A225" s="107"/>
      <c r="B225" s="107"/>
      <c r="C225" s="107"/>
    </row>
    <row r="226" spans="1:3" x14ac:dyDescent="0.2">
      <c r="A226" s="107"/>
      <c r="B226" s="107"/>
      <c r="C226" s="107"/>
    </row>
    <row r="227" spans="1:3" x14ac:dyDescent="0.2">
      <c r="A227" s="107"/>
      <c r="B227" s="107"/>
      <c r="C227" s="107"/>
    </row>
    <row r="228" spans="1:3" x14ac:dyDescent="0.2">
      <c r="A228" s="107"/>
      <c r="B228" s="107"/>
      <c r="C228" s="107"/>
    </row>
    <row r="229" spans="1:3" x14ac:dyDescent="0.2">
      <c r="A229" s="107"/>
      <c r="B229" s="107"/>
      <c r="C229" s="107"/>
    </row>
    <row r="230" spans="1:3" x14ac:dyDescent="0.2">
      <c r="A230" s="107"/>
      <c r="B230" s="107"/>
      <c r="C230" s="107"/>
    </row>
    <row r="231" spans="1:3" x14ac:dyDescent="0.2">
      <c r="A231" s="107"/>
      <c r="B231" s="107"/>
      <c r="C231" s="107"/>
    </row>
    <row r="232" spans="1:3" x14ac:dyDescent="0.2">
      <c r="A232" s="107"/>
      <c r="B232" s="107"/>
      <c r="C232" s="107"/>
    </row>
    <row r="233" spans="1:3" x14ac:dyDescent="0.2">
      <c r="A233" s="107"/>
      <c r="B233" s="107"/>
      <c r="C233" s="107"/>
    </row>
    <row r="234" spans="1:3" x14ac:dyDescent="0.2">
      <c r="A234" s="107"/>
      <c r="B234" s="107"/>
      <c r="C234" s="107"/>
    </row>
    <row r="235" spans="1:3" x14ac:dyDescent="0.2">
      <c r="A235" s="107"/>
      <c r="B235" s="107"/>
      <c r="C235" s="107"/>
    </row>
    <row r="236" spans="1:3" x14ac:dyDescent="0.2">
      <c r="A236" s="107"/>
      <c r="B236" s="107"/>
      <c r="C236" s="107"/>
    </row>
    <row r="237" spans="1:3" x14ac:dyDescent="0.2">
      <c r="A237" s="107"/>
      <c r="B237" s="107"/>
      <c r="C237" s="107"/>
    </row>
    <row r="238" spans="1:3" x14ac:dyDescent="0.2">
      <c r="A238" s="107"/>
      <c r="B238" s="107"/>
      <c r="C238" s="107"/>
    </row>
    <row r="239" spans="1:3" x14ac:dyDescent="0.2">
      <c r="A239" s="107"/>
      <c r="B239" s="107"/>
      <c r="C239" s="107"/>
    </row>
    <row r="240" spans="1:3" x14ac:dyDescent="0.2">
      <c r="A240" s="107"/>
      <c r="B240" s="107"/>
      <c r="C240" s="107"/>
    </row>
    <row r="241" spans="1:3" x14ac:dyDescent="0.2">
      <c r="A241" s="107"/>
      <c r="B241" s="107"/>
      <c r="C241" s="107"/>
    </row>
    <row r="242" spans="1:3" x14ac:dyDescent="0.2">
      <c r="A242" s="107"/>
      <c r="B242" s="107"/>
      <c r="C242" s="107"/>
    </row>
    <row r="243" spans="1:3" x14ac:dyDescent="0.2">
      <c r="A243" s="107"/>
      <c r="B243" s="107"/>
      <c r="C243" s="107"/>
    </row>
    <row r="244" spans="1:3" x14ac:dyDescent="0.2">
      <c r="A244" s="107"/>
      <c r="B244" s="107"/>
      <c r="C244" s="107"/>
    </row>
    <row r="245" spans="1:3" x14ac:dyDescent="0.2">
      <c r="A245" s="107"/>
      <c r="B245" s="107"/>
      <c r="C245" s="107"/>
    </row>
    <row r="246" spans="1:3" x14ac:dyDescent="0.2">
      <c r="A246" s="107"/>
      <c r="B246" s="107"/>
      <c r="C246" s="107"/>
    </row>
  </sheetData>
  <phoneticPr fontId="1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40AF-E5AC-4BCB-8492-E3B6252E2709}">
  <sheetPr codeName="Sheet16"/>
  <dimension ref="A1:X240"/>
  <sheetViews>
    <sheetView workbookViewId="0">
      <selection activeCell="D18" sqref="D18"/>
    </sheetView>
  </sheetViews>
  <sheetFormatPr defaultRowHeight="12.75" x14ac:dyDescent="0.2"/>
  <cols>
    <col min="2" max="2" width="14" bestFit="1" customWidth="1"/>
    <col min="3" max="3" width="14" customWidth="1"/>
    <col min="4" max="4" width="11.85546875" customWidth="1"/>
    <col min="5" max="5" width="14" customWidth="1"/>
    <col min="6" max="6" width="11.85546875" customWidth="1"/>
    <col min="7" max="7" width="14.7109375" customWidth="1"/>
    <col min="8" max="8" width="15.42578125" customWidth="1"/>
    <col min="9" max="9" width="17" customWidth="1"/>
    <col min="12" max="12" width="15.28515625" bestFit="1" customWidth="1"/>
    <col min="13" max="13" width="11.28515625" bestFit="1" customWidth="1"/>
    <col min="14" max="18" width="10.5703125" bestFit="1" customWidth="1"/>
    <col min="19" max="24" width="11.5703125" bestFit="1" customWidth="1"/>
  </cols>
  <sheetData>
    <row r="1" spans="1:24" ht="13.5" thickBot="1" x14ac:dyDescent="0.25">
      <c r="A1" s="124"/>
      <c r="G1" s="124"/>
      <c r="R1" s="124" t="s">
        <v>148</v>
      </c>
    </row>
    <row r="2" spans="1:24" ht="39" thickBot="1" x14ac:dyDescent="0.25">
      <c r="B2" s="178" t="s">
        <v>151</v>
      </c>
      <c r="C2" s="178" t="s">
        <v>154</v>
      </c>
      <c r="D2" s="178" t="s">
        <v>153</v>
      </c>
      <c r="E2" s="178" t="s">
        <v>150</v>
      </c>
      <c r="F2" s="178" t="s">
        <v>152</v>
      </c>
      <c r="G2" s="178" t="s">
        <v>155</v>
      </c>
      <c r="H2" s="178" t="s">
        <v>167</v>
      </c>
      <c r="I2" s="178" t="s">
        <v>169</v>
      </c>
      <c r="L2" s="178" t="s">
        <v>149</v>
      </c>
      <c r="M2" s="179">
        <v>2011</v>
      </c>
      <c r="N2" s="180">
        <v>2012</v>
      </c>
      <c r="O2" s="180">
        <v>2013</v>
      </c>
      <c r="P2" s="180">
        <v>2014</v>
      </c>
      <c r="Q2" s="180">
        <v>2015</v>
      </c>
      <c r="R2" s="180">
        <v>2016</v>
      </c>
      <c r="S2" s="180">
        <v>2017</v>
      </c>
      <c r="T2" s="180">
        <v>2018</v>
      </c>
      <c r="U2" s="180">
        <v>2019</v>
      </c>
      <c r="V2" s="180">
        <v>2020</v>
      </c>
      <c r="W2" s="180">
        <v>2021</v>
      </c>
      <c r="X2" s="181">
        <v>2022</v>
      </c>
    </row>
    <row r="3" spans="1:24" x14ac:dyDescent="0.2">
      <c r="B3" s="182" t="s">
        <v>162</v>
      </c>
      <c r="C3" s="182" t="s">
        <v>163</v>
      </c>
      <c r="D3" s="182" t="s">
        <v>164</v>
      </c>
      <c r="E3" s="182" t="s">
        <v>165</v>
      </c>
      <c r="F3" s="182" t="s">
        <v>168</v>
      </c>
      <c r="G3" s="182" t="s">
        <v>166</v>
      </c>
      <c r="H3" s="182" t="s">
        <v>67</v>
      </c>
      <c r="I3" s="182" t="s">
        <v>161</v>
      </c>
      <c r="L3" s="160">
        <v>2011</v>
      </c>
      <c r="M3" s="161">
        <v>535020.15063921839</v>
      </c>
      <c r="N3" s="162">
        <v>535020.15063921839</v>
      </c>
      <c r="O3" s="162">
        <v>535234.43812021834</v>
      </c>
      <c r="P3" s="162">
        <v>453554.2327512941</v>
      </c>
      <c r="Q3" s="162">
        <v>440627.27830064372</v>
      </c>
      <c r="R3" s="162">
        <v>417464.02531146072</v>
      </c>
      <c r="S3" s="162">
        <v>303823.20883096708</v>
      </c>
      <c r="T3" s="162">
        <v>303493.7473203034</v>
      </c>
      <c r="U3" s="162">
        <v>322872.28934084513</v>
      </c>
      <c r="V3" s="162">
        <v>262588.8780402402</v>
      </c>
      <c r="W3" s="162">
        <v>238881.76808602616</v>
      </c>
      <c r="X3" s="163">
        <v>237309.16702994154</v>
      </c>
    </row>
    <row r="4" spans="1:24" x14ac:dyDescent="0.2">
      <c r="A4">
        <v>2011</v>
      </c>
      <c r="B4" s="109">
        <f t="shared" ref="B4:B15" ca="1" si="0">OFFSET($M$19,0,ROW()-ROW($B$4))</f>
        <v>0</v>
      </c>
      <c r="C4" s="109"/>
      <c r="E4" s="109">
        <f t="shared" ref="E4:E15" ca="1" si="1">OFFSET($M$17,0,ROW()-ROW($B$4))</f>
        <v>535020.15063921839</v>
      </c>
      <c r="F4" s="109">
        <f ca="1">E4/2</f>
        <v>267510.0753196092</v>
      </c>
      <c r="G4" s="123">
        <f ca="1">(D4+F4)/SUM($C$18:$C$29)</f>
        <v>3429.6163502514</v>
      </c>
      <c r="H4" s="109">
        <f t="shared" ref="H4:H15" ca="1" si="2">SUMIFS($D$18:$D$161,$B$18:$B$161,A4)</f>
        <v>267510.07531960914</v>
      </c>
      <c r="I4" s="109">
        <f t="shared" ref="I4:I15" ca="1" si="3">OFFSET($M$21,0,ROW()-ROW($I$4))</f>
        <v>267510.0753196092</v>
      </c>
      <c r="L4" s="164">
        <v>2012</v>
      </c>
      <c r="M4" s="165">
        <v>0</v>
      </c>
      <c r="N4" s="123">
        <v>1192682.6399508312</v>
      </c>
      <c r="O4" s="123">
        <v>1192319.5334508312</v>
      </c>
      <c r="P4" s="123">
        <v>1192319.5334508312</v>
      </c>
      <c r="Q4" s="123">
        <v>1145530.7271306608</v>
      </c>
      <c r="R4" s="123">
        <v>1134266.3478506384</v>
      </c>
      <c r="S4" s="123">
        <v>1040223.9967179087</v>
      </c>
      <c r="T4" s="123">
        <v>1024159.5859066141</v>
      </c>
      <c r="U4" s="123">
        <v>1024088.4673212045</v>
      </c>
      <c r="V4" s="123">
        <v>1016869.7795181141</v>
      </c>
      <c r="W4" s="123">
        <v>998123.10032269754</v>
      </c>
      <c r="X4" s="166">
        <v>991767.53204654669</v>
      </c>
    </row>
    <row r="5" spans="1:24" x14ac:dyDescent="0.2">
      <c r="A5">
        <f>A4+1</f>
        <v>2012</v>
      </c>
      <c r="B5" s="109">
        <f t="shared" ca="1" si="0"/>
        <v>535020.15063921839</v>
      </c>
      <c r="C5" s="109">
        <f t="shared" ref="C5:C15" ca="1" si="4">OFFSET($M$15,0,ROW()-ROW($C$5))</f>
        <v>535020.15063921839</v>
      </c>
      <c r="D5" s="109">
        <f ca="1">B5-C5</f>
        <v>0</v>
      </c>
      <c r="E5" s="109">
        <f t="shared" ca="1" si="1"/>
        <v>1192682.6399508312</v>
      </c>
      <c r="F5" s="109">
        <f t="shared" ref="F5:F15" ca="1" si="5">E5/2</f>
        <v>596341.31997541559</v>
      </c>
      <c r="G5" s="123">
        <f t="shared" ref="G5:G15" ca="1" si="6">(D5+F5)/SUM($C$18:$C$29)</f>
        <v>7645.4015381463541</v>
      </c>
      <c r="H5" s="109">
        <f t="shared" ca="1" si="2"/>
        <v>1131361.4706146342</v>
      </c>
      <c r="I5" s="109">
        <f t="shared" ca="1" si="3"/>
        <v>1131361.470614634</v>
      </c>
      <c r="L5" s="164">
        <v>2013</v>
      </c>
      <c r="M5" s="165">
        <v>0</v>
      </c>
      <c r="N5" s="123">
        <v>0</v>
      </c>
      <c r="O5" s="123">
        <v>650445.4210773526</v>
      </c>
      <c r="P5" s="123">
        <v>648052.72460518463</v>
      </c>
      <c r="Q5" s="123">
        <v>644808.85110918165</v>
      </c>
      <c r="R5" s="123">
        <v>622275.40656833153</v>
      </c>
      <c r="S5" s="123">
        <v>530013.44818441477</v>
      </c>
      <c r="T5" s="123">
        <v>511395.30488569301</v>
      </c>
      <c r="U5" s="123">
        <v>505622.70906049799</v>
      </c>
      <c r="V5" s="123">
        <v>504885.79836786306</v>
      </c>
      <c r="W5" s="123">
        <v>445533.02550390997</v>
      </c>
      <c r="X5" s="166">
        <v>367879.65433416999</v>
      </c>
    </row>
    <row r="6" spans="1:24" x14ac:dyDescent="0.2">
      <c r="A6">
        <f t="shared" ref="A6:A15" si="7">A5+1</f>
        <v>2013</v>
      </c>
      <c r="B6" s="109">
        <f t="shared" ca="1" si="0"/>
        <v>1727553.9715710497</v>
      </c>
      <c r="C6" s="109">
        <f t="shared" ca="1" si="4"/>
        <v>1727702.7905900497</v>
      </c>
      <c r="D6" s="109">
        <f t="shared" ref="D6:D15" ca="1" si="8">B6-C6</f>
        <v>-148.81901900004596</v>
      </c>
      <c r="E6" s="109">
        <f t="shared" ca="1" si="1"/>
        <v>650445.4210773526</v>
      </c>
      <c r="F6" s="109">
        <f t="shared" ca="1" si="5"/>
        <v>325222.7105386763</v>
      </c>
      <c r="G6" s="123">
        <f t="shared" ca="1" si="6"/>
        <v>4167.6139938420029</v>
      </c>
      <c r="H6" s="109">
        <f t="shared" ca="1" si="2"/>
        <v>2052776.6821097257</v>
      </c>
      <c r="I6" s="109">
        <f t="shared" ca="1" si="3"/>
        <v>2052776.6821097259</v>
      </c>
      <c r="L6" s="164">
        <v>2014</v>
      </c>
      <c r="M6" s="165">
        <v>0</v>
      </c>
      <c r="N6" s="123">
        <v>0</v>
      </c>
      <c r="O6" s="123">
        <v>0</v>
      </c>
      <c r="P6" s="123">
        <v>1056394.2867260033</v>
      </c>
      <c r="Q6" s="123">
        <v>1014900.1652060035</v>
      </c>
      <c r="R6" s="123">
        <v>960959.04193600337</v>
      </c>
      <c r="S6" s="123">
        <v>885782.02014600346</v>
      </c>
      <c r="T6" s="123">
        <v>876095.79860045493</v>
      </c>
      <c r="U6" s="123">
        <v>871596.27618500008</v>
      </c>
      <c r="V6" s="123">
        <v>849250.24498500011</v>
      </c>
      <c r="W6" s="123">
        <v>848468.73081500013</v>
      </c>
      <c r="X6" s="166">
        <v>813242.99195500021</v>
      </c>
    </row>
    <row r="7" spans="1:24" x14ac:dyDescent="0.2">
      <c r="A7">
        <f t="shared" si="7"/>
        <v>2014</v>
      </c>
      <c r="B7" s="109">
        <f t="shared" ca="1" si="0"/>
        <v>2293926.4908073097</v>
      </c>
      <c r="C7" s="109">
        <f t="shared" ca="1" si="4"/>
        <v>2377999.3926484021</v>
      </c>
      <c r="D7" s="109">
        <f t="shared" ca="1" si="8"/>
        <v>-84072.901841092389</v>
      </c>
      <c r="E7" s="109">
        <f t="shared" ca="1" si="1"/>
        <v>1056394.2867260033</v>
      </c>
      <c r="F7" s="109">
        <f t="shared" ca="1" si="5"/>
        <v>528197.14336300164</v>
      </c>
      <c r="G7" s="123">
        <f t="shared" ca="1" si="6"/>
        <v>5693.9005323321699</v>
      </c>
      <c r="H7" s="109">
        <f t="shared" ca="1" si="2"/>
        <v>2822123.6341703115</v>
      </c>
      <c r="I7" s="109">
        <f t="shared" ca="1" si="3"/>
        <v>2822123.6341703115</v>
      </c>
      <c r="L7" s="164">
        <v>2015</v>
      </c>
      <c r="M7" s="165">
        <v>0</v>
      </c>
      <c r="N7" s="123">
        <v>0</v>
      </c>
      <c r="O7" s="123">
        <v>0</v>
      </c>
      <c r="P7" s="123">
        <v>0</v>
      </c>
      <c r="Q7" s="123">
        <v>2256245</v>
      </c>
      <c r="R7" s="123">
        <v>2246293</v>
      </c>
      <c r="S7" s="123">
        <v>2245490</v>
      </c>
      <c r="T7" s="123">
        <v>2248418</v>
      </c>
      <c r="U7" s="123">
        <v>2243714</v>
      </c>
      <c r="V7" s="123">
        <v>2240051</v>
      </c>
      <c r="W7" s="123">
        <v>2238433</v>
      </c>
      <c r="X7" s="166">
        <v>2238087</v>
      </c>
    </row>
    <row r="8" spans="1:24" x14ac:dyDescent="0.2">
      <c r="A8">
        <f t="shared" si="7"/>
        <v>2015</v>
      </c>
      <c r="B8" s="109">
        <f t="shared" ca="1" si="0"/>
        <v>3245867.0217464897</v>
      </c>
      <c r="C8" s="109">
        <f t="shared" ca="1" si="4"/>
        <v>3350320.7775333133</v>
      </c>
      <c r="D8" s="109">
        <f t="shared" ca="1" si="8"/>
        <v>-104453.75578682357</v>
      </c>
      <c r="E8" s="109">
        <f t="shared" ca="1" si="1"/>
        <v>2256245</v>
      </c>
      <c r="F8" s="109">
        <f t="shared" ca="1" si="5"/>
        <v>1128122.5</v>
      </c>
      <c r="G8" s="123">
        <f t="shared" ca="1" si="6"/>
        <v>13123.958259143288</v>
      </c>
      <c r="H8" s="109">
        <f t="shared" ca="1" si="2"/>
        <v>4373989.5217464902</v>
      </c>
      <c r="I8" s="109">
        <f t="shared" ca="1" si="3"/>
        <v>4373989.5217464902</v>
      </c>
      <c r="L8" s="164">
        <v>2016</v>
      </c>
      <c r="M8" s="165">
        <v>0</v>
      </c>
      <c r="N8" s="123">
        <v>0</v>
      </c>
      <c r="O8" s="123">
        <v>0</v>
      </c>
      <c r="P8" s="123">
        <v>0</v>
      </c>
      <c r="Q8" s="123">
        <v>0</v>
      </c>
      <c r="R8" s="123">
        <v>2197450.2335958309</v>
      </c>
      <c r="S8" s="123">
        <v>2197340.4896600959</v>
      </c>
      <c r="T8" s="123">
        <v>2198618.7457243605</v>
      </c>
      <c r="U8" s="123">
        <v>2198539.0017886255</v>
      </c>
      <c r="V8" s="123">
        <v>2198459.2578528901</v>
      </c>
      <c r="W8" s="123">
        <v>2198379.5139171551</v>
      </c>
      <c r="X8" s="166">
        <v>2198241.7699814201</v>
      </c>
    </row>
    <row r="9" spans="1:24" x14ac:dyDescent="0.2">
      <c r="A9">
        <f t="shared" si="7"/>
        <v>2016</v>
      </c>
      <c r="B9" s="109">
        <f t="shared" ca="1" si="0"/>
        <v>5381257.8216664344</v>
      </c>
      <c r="C9" s="109">
        <f t="shared" ca="1" si="4"/>
        <v>5502112.0217464902</v>
      </c>
      <c r="D9" s="109">
        <f t="shared" ca="1" si="8"/>
        <v>-120854.20008005574</v>
      </c>
      <c r="E9" s="109">
        <f t="shared" ca="1" si="1"/>
        <v>2197450.2335958309</v>
      </c>
      <c r="F9" s="109">
        <f t="shared" ca="1" si="5"/>
        <v>1098725.1167979154</v>
      </c>
      <c r="G9" s="123">
        <f t="shared" ca="1" si="6"/>
        <v>12536.806624587945</v>
      </c>
      <c r="H9" s="109">
        <f t="shared" ca="1" si="2"/>
        <v>6479982.9384643491</v>
      </c>
      <c r="I9" s="109">
        <f t="shared" ca="1" si="3"/>
        <v>6479982.9384643501</v>
      </c>
      <c r="L9" s="164">
        <v>2017</v>
      </c>
      <c r="M9" s="165">
        <v>0</v>
      </c>
      <c r="N9" s="123">
        <v>0</v>
      </c>
      <c r="O9" s="123">
        <v>0</v>
      </c>
      <c r="P9" s="123">
        <v>0</v>
      </c>
      <c r="Q9" s="123">
        <v>0</v>
      </c>
      <c r="R9" s="123">
        <v>0</v>
      </c>
      <c r="S9" s="123">
        <v>2843718.2501106202</v>
      </c>
      <c r="T9" s="123">
        <v>2324397.5269919313</v>
      </c>
      <c r="U9" s="123">
        <v>2324344.8038732423</v>
      </c>
      <c r="V9" s="123">
        <v>2324292.080754553</v>
      </c>
      <c r="W9" s="123">
        <v>2324097.3576358641</v>
      </c>
      <c r="X9" s="166">
        <v>2297410.6345171751</v>
      </c>
    </row>
    <row r="10" spans="1:24" x14ac:dyDescent="0.2">
      <c r="A10">
        <f t="shared" si="7"/>
        <v>2017</v>
      </c>
      <c r="B10" s="109">
        <f t="shared" ca="1" si="0"/>
        <v>7202673.1635393891</v>
      </c>
      <c r="C10" s="109">
        <f t="shared" ca="1" si="4"/>
        <v>7578708.0552622657</v>
      </c>
      <c r="D10" s="109">
        <f t="shared" ca="1" si="8"/>
        <v>-376034.89172287658</v>
      </c>
      <c r="E10" s="109">
        <f t="shared" ca="1" si="1"/>
        <v>2843718.2501106202</v>
      </c>
      <c r="F10" s="109">
        <f t="shared" ca="1" si="5"/>
        <v>1421859.1250553101</v>
      </c>
      <c r="G10" s="123">
        <f t="shared" ca="1" si="6"/>
        <v>13408.002991441455</v>
      </c>
      <c r="H10" s="109">
        <f t="shared" ca="1" si="2"/>
        <v>8624532.2885947004</v>
      </c>
      <c r="I10" s="109">
        <f t="shared" ca="1" si="3"/>
        <v>8624532.2885946985</v>
      </c>
      <c r="L10" s="164">
        <v>2018</v>
      </c>
      <c r="M10" s="167"/>
      <c r="T10" s="123">
        <v>1253280.3620446892</v>
      </c>
      <c r="U10" s="123">
        <v>1237383.6613986578</v>
      </c>
      <c r="V10" s="123">
        <v>1221486.9607526264</v>
      </c>
      <c r="W10" s="123">
        <v>1205590.260106595</v>
      </c>
      <c r="X10" s="166">
        <v>1189693.5594605636</v>
      </c>
    </row>
    <row r="11" spans="1:24" x14ac:dyDescent="0.2">
      <c r="A11">
        <f t="shared" si="7"/>
        <v>2018</v>
      </c>
      <c r="B11" s="109">
        <f t="shared" ca="1" si="0"/>
        <v>9486578.7094293572</v>
      </c>
      <c r="C11" s="109">
        <f t="shared" ca="1" si="4"/>
        <v>10046391.41365001</v>
      </c>
      <c r="D11" s="109">
        <f t="shared" ca="1" si="8"/>
        <v>-559812.70422065258</v>
      </c>
      <c r="E11" s="109">
        <f t="shared" ca="1" si="1"/>
        <v>1253280.3620446892</v>
      </c>
      <c r="F11" s="109">
        <f t="shared" ca="1" si="5"/>
        <v>626640.18102234462</v>
      </c>
      <c r="G11" s="123">
        <f t="shared" ca="1" si="6"/>
        <v>856.76252309861593</v>
      </c>
      <c r="H11" s="109">
        <f t="shared" ca="1" si="2"/>
        <v>10113218.890451701</v>
      </c>
      <c r="I11" s="109">
        <f t="shared" ca="1" si="3"/>
        <v>10113218.890451701</v>
      </c>
      <c r="L11" s="164">
        <v>2019</v>
      </c>
      <c r="M11" s="167"/>
      <c r="U11" s="123">
        <v>304816.36382328515</v>
      </c>
      <c r="V11" s="123">
        <v>297087.96819766366</v>
      </c>
      <c r="W11" s="123">
        <v>288612.63892016222</v>
      </c>
      <c r="X11" s="166">
        <v>280141.04431092017</v>
      </c>
    </row>
    <row r="12" spans="1:24" x14ac:dyDescent="0.2">
      <c r="A12">
        <f t="shared" si="7"/>
        <v>2019</v>
      </c>
      <c r="B12" s="109">
        <f t="shared" ca="1" si="0"/>
        <v>10728161.208968075</v>
      </c>
      <c r="C12" s="109">
        <f t="shared" ca="1" si="4"/>
        <v>10739859.071474046</v>
      </c>
      <c r="D12" s="109">
        <f t="shared" ca="1" si="8"/>
        <v>-11697.862505970523</v>
      </c>
      <c r="E12" s="109">
        <f t="shared" ca="1" si="1"/>
        <v>304816.36382328515</v>
      </c>
      <c r="F12" s="109">
        <f t="shared" ca="1" si="5"/>
        <v>152408.18191164258</v>
      </c>
      <c r="G12" s="123">
        <f t="shared" ca="1" si="6"/>
        <v>1803.9784539188724</v>
      </c>
      <c r="H12" s="109">
        <f t="shared" ca="1" si="2"/>
        <v>10880569.390879717</v>
      </c>
      <c r="I12" s="109">
        <f t="shared" ca="1" si="3"/>
        <v>10880569.390879717</v>
      </c>
      <c r="L12" s="164">
        <v>2020</v>
      </c>
      <c r="M12" s="167"/>
      <c r="X12" s="168"/>
    </row>
    <row r="13" spans="1:24" x14ac:dyDescent="0.2">
      <c r="A13">
        <f t="shared" si="7"/>
        <v>2020</v>
      </c>
      <c r="B13" s="109">
        <f t="shared" ca="1" si="0"/>
        <v>10914971.968468953</v>
      </c>
      <c r="C13" s="109">
        <f t="shared" ca="1" si="4"/>
        <v>11032977.57279136</v>
      </c>
      <c r="D13" s="109">
        <f t="shared" ca="1" si="8"/>
        <v>-118005.60432240739</v>
      </c>
      <c r="E13" s="109">
        <f t="shared" ca="1" si="1"/>
        <v>0</v>
      </c>
      <c r="F13" s="109">
        <f t="shared" ca="1" si="5"/>
        <v>0</v>
      </c>
      <c r="G13" s="123">
        <f t="shared" ca="1" si="6"/>
        <v>-1512.8923631077871</v>
      </c>
      <c r="H13" s="109">
        <f t="shared" ca="1" si="2"/>
        <v>10914971.968468953</v>
      </c>
      <c r="I13" s="109">
        <f t="shared" ca="1" si="3"/>
        <v>10914971.968468953</v>
      </c>
      <c r="L13" s="164">
        <v>2021</v>
      </c>
      <c r="M13" s="167"/>
      <c r="X13" s="168"/>
    </row>
    <row r="14" spans="1:24" ht="13.5" thickBot="1" x14ac:dyDescent="0.25">
      <c r="A14">
        <f t="shared" si="7"/>
        <v>2021</v>
      </c>
      <c r="B14" s="109">
        <f t="shared" ca="1" si="0"/>
        <v>10786119.395307409</v>
      </c>
      <c r="C14" s="109">
        <f t="shared" ca="1" si="4"/>
        <v>10914971.968468953</v>
      </c>
      <c r="D14" s="109">
        <f t="shared" ca="1" si="8"/>
        <v>-128852.57316154428</v>
      </c>
      <c r="E14" s="109">
        <f t="shared" ca="1" si="1"/>
        <v>0</v>
      </c>
      <c r="F14" s="109">
        <f t="shared" ca="1" si="5"/>
        <v>0</v>
      </c>
      <c r="G14" s="123">
        <f t="shared" ca="1" si="6"/>
        <v>-1651.9560661736446</v>
      </c>
      <c r="H14" s="109">
        <f t="shared" ca="1" si="2"/>
        <v>10786119.395307409</v>
      </c>
      <c r="I14" s="109">
        <f t="shared" ca="1" si="3"/>
        <v>10786119.395307409</v>
      </c>
      <c r="L14" s="169">
        <v>2022</v>
      </c>
      <c r="M14" s="170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2"/>
    </row>
    <row r="15" spans="1:24" ht="15.75" thickBot="1" x14ac:dyDescent="0.3">
      <c r="A15">
        <f t="shared" si="7"/>
        <v>2022</v>
      </c>
      <c r="B15" s="109">
        <f t="shared" ca="1" si="0"/>
        <v>10613773.353635738</v>
      </c>
      <c r="C15" s="109">
        <f t="shared" ca="1" si="4"/>
        <v>10786119.395307409</v>
      </c>
      <c r="D15" s="109">
        <f t="shared" ca="1" si="8"/>
        <v>-172346.04167167097</v>
      </c>
      <c r="E15" s="109">
        <f t="shared" ca="1" si="1"/>
        <v>0</v>
      </c>
      <c r="F15" s="109">
        <f t="shared" ca="1" si="5"/>
        <v>0</v>
      </c>
      <c r="G15" s="123">
        <f t="shared" ca="1" si="6"/>
        <v>-2209.5646368162948</v>
      </c>
      <c r="H15" s="109">
        <f t="shared" ca="1" si="2"/>
        <v>10613773.353635736</v>
      </c>
      <c r="I15" s="109">
        <f t="shared" ca="1" si="3"/>
        <v>10613773.353635738</v>
      </c>
      <c r="K15" s="13" t="s">
        <v>158</v>
      </c>
      <c r="L15" s="173" t="s">
        <v>7</v>
      </c>
      <c r="M15" s="175">
        <f>SUM(M3:M14)</f>
        <v>535020.15063921839</v>
      </c>
      <c r="N15" s="176">
        <f t="shared" ref="N15:X15" si="9">SUM(N3:N14)</f>
        <v>1727702.7905900497</v>
      </c>
      <c r="O15" s="176">
        <f t="shared" si="9"/>
        <v>2377999.3926484021</v>
      </c>
      <c r="P15" s="176">
        <f t="shared" si="9"/>
        <v>3350320.7775333133</v>
      </c>
      <c r="Q15" s="176">
        <f t="shared" si="9"/>
        <v>5502112.0217464902</v>
      </c>
      <c r="R15" s="176">
        <f t="shared" si="9"/>
        <v>7578708.0552622657</v>
      </c>
      <c r="S15" s="176">
        <f t="shared" si="9"/>
        <v>10046391.41365001</v>
      </c>
      <c r="T15" s="176">
        <f t="shared" si="9"/>
        <v>10739859.071474046</v>
      </c>
      <c r="U15" s="176">
        <f t="shared" si="9"/>
        <v>11032977.57279136</v>
      </c>
      <c r="V15" s="176">
        <f t="shared" si="9"/>
        <v>10914971.968468953</v>
      </c>
      <c r="W15" s="176">
        <f t="shared" si="9"/>
        <v>10786119.395307409</v>
      </c>
      <c r="X15" s="177">
        <f t="shared" si="9"/>
        <v>10613773.353635738</v>
      </c>
    </row>
    <row r="16" spans="1:24" x14ac:dyDescent="0.2">
      <c r="K16" s="13"/>
    </row>
    <row r="17" spans="1:24" x14ac:dyDescent="0.2">
      <c r="A17" s="124" t="s">
        <v>103</v>
      </c>
      <c r="B17" s="124" t="s">
        <v>75</v>
      </c>
      <c r="C17" s="124" t="s">
        <v>40</v>
      </c>
      <c r="D17" s="124" t="s">
        <v>170</v>
      </c>
      <c r="K17" s="13" t="s">
        <v>157</v>
      </c>
      <c r="L17" s="124" t="s">
        <v>144</v>
      </c>
      <c r="M17" s="123">
        <f>M3</f>
        <v>535020.15063921839</v>
      </c>
      <c r="N17" s="123">
        <f>N4</f>
        <v>1192682.6399508312</v>
      </c>
      <c r="O17" s="123">
        <f>O5</f>
        <v>650445.4210773526</v>
      </c>
      <c r="P17" s="123">
        <f>P6</f>
        <v>1056394.2867260033</v>
      </c>
      <c r="Q17" s="123">
        <f>Q7</f>
        <v>2256245</v>
      </c>
      <c r="R17" s="123">
        <f>R8</f>
        <v>2197450.2335958309</v>
      </c>
      <c r="S17" s="123">
        <f>S9</f>
        <v>2843718.2501106202</v>
      </c>
      <c r="T17" s="123">
        <f>T10</f>
        <v>1253280.3620446892</v>
      </c>
      <c r="U17" s="123">
        <f>U11</f>
        <v>304816.36382328515</v>
      </c>
      <c r="V17" s="123">
        <f>V12</f>
        <v>0</v>
      </c>
      <c r="W17" s="123">
        <f>W13</f>
        <v>0</v>
      </c>
      <c r="X17" s="123">
        <f>X14</f>
        <v>0</v>
      </c>
    </row>
    <row r="18" spans="1:24" x14ac:dyDescent="0.2">
      <c r="A18" s="3">
        <v>40544</v>
      </c>
      <c r="B18">
        <f>YEAR(A18)</f>
        <v>2011</v>
      </c>
      <c r="C18">
        <f t="shared" ref="C18:C49" si="10">MONTH(A18)</f>
        <v>1</v>
      </c>
      <c r="D18" s="109">
        <f t="shared" ref="D18:D49" ca="1" si="11">VLOOKUP(B18,$A$4:$C$15,3,FALSE)/12+VLOOKUP(B18,$A$4:$G$15,7,FALSE)*C18</f>
        <v>3429.6163502514</v>
      </c>
      <c r="G18" s="109"/>
      <c r="K18" s="13" t="s">
        <v>159</v>
      </c>
      <c r="L18" s="124" t="s">
        <v>145</v>
      </c>
      <c r="M18" s="123">
        <f>M17/2</f>
        <v>267510.0753196092</v>
      </c>
      <c r="N18" s="123">
        <f t="shared" ref="N18:X18" si="12">N17/2</f>
        <v>596341.31997541559</v>
      </c>
      <c r="O18" s="123">
        <f t="shared" si="12"/>
        <v>325222.7105386763</v>
      </c>
      <c r="P18" s="123">
        <f t="shared" si="12"/>
        <v>528197.14336300164</v>
      </c>
      <c r="Q18" s="123">
        <f t="shared" si="12"/>
        <v>1128122.5</v>
      </c>
      <c r="R18" s="123">
        <f t="shared" si="12"/>
        <v>1098725.1167979154</v>
      </c>
      <c r="S18" s="123">
        <f t="shared" si="12"/>
        <v>1421859.1250553101</v>
      </c>
      <c r="T18" s="123">
        <f t="shared" si="12"/>
        <v>626640.18102234462</v>
      </c>
      <c r="U18" s="123">
        <f t="shared" si="12"/>
        <v>152408.18191164258</v>
      </c>
      <c r="V18" s="123">
        <f t="shared" si="12"/>
        <v>0</v>
      </c>
      <c r="W18" s="123">
        <f t="shared" si="12"/>
        <v>0</v>
      </c>
      <c r="X18" s="123">
        <f t="shared" si="12"/>
        <v>0</v>
      </c>
    </row>
    <row r="19" spans="1:24" x14ac:dyDescent="0.2">
      <c r="A19" s="3">
        <v>40575</v>
      </c>
      <c r="B19">
        <f t="shared" ref="B19:B82" si="13">YEAR(A19)</f>
        <v>2011</v>
      </c>
      <c r="C19">
        <f t="shared" si="10"/>
        <v>2</v>
      </c>
      <c r="D19" s="109">
        <f t="shared" ca="1" si="11"/>
        <v>6859.2327005028001</v>
      </c>
      <c r="G19" s="109"/>
      <c r="K19" s="183" t="s">
        <v>156</v>
      </c>
      <c r="L19" s="174" t="s">
        <v>146</v>
      </c>
      <c r="N19" s="123">
        <f>N3</f>
        <v>535020.15063921839</v>
      </c>
      <c r="O19" s="123">
        <f>O3+O4</f>
        <v>1727553.9715710497</v>
      </c>
      <c r="P19" s="123">
        <f>SUM(P3:P5)</f>
        <v>2293926.4908073097</v>
      </c>
      <c r="Q19" s="123">
        <f>SUM(Q3:Q6)</f>
        <v>3245867.0217464897</v>
      </c>
      <c r="R19" s="123">
        <f>SUM(R3:R7)</f>
        <v>5381257.8216664344</v>
      </c>
      <c r="S19" s="123">
        <f>SUM(S3:S8)</f>
        <v>7202673.1635393891</v>
      </c>
      <c r="T19" s="123">
        <f>SUM(T3:T9)</f>
        <v>9486578.7094293572</v>
      </c>
      <c r="U19" s="123">
        <f>SUM(U3:U10)</f>
        <v>10728161.208968075</v>
      </c>
      <c r="V19" s="123">
        <f>SUM(V3:V11)</f>
        <v>10914971.968468953</v>
      </c>
      <c r="W19" s="123">
        <f>SUM(W3:W12)</f>
        <v>10786119.395307409</v>
      </c>
      <c r="X19" s="123">
        <f>SUM(X3:X13)</f>
        <v>10613773.353635738</v>
      </c>
    </row>
    <row r="20" spans="1:24" x14ac:dyDescent="0.2">
      <c r="A20" s="3">
        <v>40603</v>
      </c>
      <c r="B20">
        <f t="shared" si="13"/>
        <v>2011</v>
      </c>
      <c r="C20">
        <f t="shared" si="10"/>
        <v>3</v>
      </c>
      <c r="D20" s="109">
        <f t="shared" ca="1" si="11"/>
        <v>10288.849050754201</v>
      </c>
      <c r="G20" s="109"/>
      <c r="K20" s="13"/>
    </row>
    <row r="21" spans="1:24" x14ac:dyDescent="0.2">
      <c r="A21" s="3">
        <v>40634</v>
      </c>
      <c r="B21">
        <f t="shared" si="13"/>
        <v>2011</v>
      </c>
      <c r="C21">
        <f t="shared" si="10"/>
        <v>4</v>
      </c>
      <c r="D21" s="109">
        <f t="shared" ca="1" si="11"/>
        <v>13718.4654010056</v>
      </c>
      <c r="G21" s="109"/>
      <c r="K21" s="13" t="s">
        <v>160</v>
      </c>
      <c r="L21" s="124" t="s">
        <v>147</v>
      </c>
      <c r="M21" s="123">
        <f>M18+M19</f>
        <v>267510.0753196092</v>
      </c>
      <c r="N21" s="123">
        <f t="shared" ref="N21:X21" si="14">N18+N19</f>
        <v>1131361.470614634</v>
      </c>
      <c r="O21" s="123">
        <f t="shared" si="14"/>
        <v>2052776.6821097259</v>
      </c>
      <c r="P21" s="123">
        <f t="shared" si="14"/>
        <v>2822123.6341703115</v>
      </c>
      <c r="Q21" s="123">
        <f t="shared" si="14"/>
        <v>4373989.5217464902</v>
      </c>
      <c r="R21" s="123">
        <f t="shared" si="14"/>
        <v>6479982.9384643501</v>
      </c>
      <c r="S21" s="123">
        <f t="shared" si="14"/>
        <v>8624532.2885946985</v>
      </c>
      <c r="T21" s="123">
        <f t="shared" si="14"/>
        <v>10113218.890451701</v>
      </c>
      <c r="U21" s="123">
        <f t="shared" si="14"/>
        <v>10880569.390879717</v>
      </c>
      <c r="V21" s="123">
        <f t="shared" si="14"/>
        <v>10914971.968468953</v>
      </c>
      <c r="W21" s="123">
        <f t="shared" si="14"/>
        <v>10786119.395307409</v>
      </c>
      <c r="X21" s="123">
        <f t="shared" si="14"/>
        <v>10613773.353635738</v>
      </c>
    </row>
    <row r="22" spans="1:24" x14ac:dyDescent="0.2">
      <c r="A22" s="3">
        <v>40664</v>
      </c>
      <c r="B22">
        <f t="shared" si="13"/>
        <v>2011</v>
      </c>
      <c r="C22">
        <f t="shared" si="10"/>
        <v>5</v>
      </c>
      <c r="D22" s="109">
        <f t="shared" ca="1" si="11"/>
        <v>17148.081751256999</v>
      </c>
      <c r="G22" s="109"/>
    </row>
    <row r="23" spans="1:24" x14ac:dyDescent="0.2">
      <c r="A23" s="3">
        <v>40695</v>
      </c>
      <c r="B23">
        <f t="shared" si="13"/>
        <v>2011</v>
      </c>
      <c r="C23">
        <f t="shared" si="10"/>
        <v>6</v>
      </c>
      <c r="D23" s="109">
        <f t="shared" ca="1" si="11"/>
        <v>20577.698101508402</v>
      </c>
      <c r="G23" s="109"/>
    </row>
    <row r="24" spans="1:24" x14ac:dyDescent="0.2">
      <c r="A24" s="3">
        <v>40725</v>
      </c>
      <c r="B24">
        <f t="shared" si="13"/>
        <v>2011</v>
      </c>
      <c r="C24">
        <f t="shared" si="10"/>
        <v>7</v>
      </c>
      <c r="D24" s="109">
        <f t="shared" ca="1" si="11"/>
        <v>24007.314451759801</v>
      </c>
      <c r="G24" s="109"/>
    </row>
    <row r="25" spans="1:24" x14ac:dyDescent="0.2">
      <c r="A25" s="3">
        <v>40756</v>
      </c>
      <c r="B25">
        <f t="shared" si="13"/>
        <v>2011</v>
      </c>
      <c r="C25">
        <f t="shared" si="10"/>
        <v>8</v>
      </c>
      <c r="D25" s="109">
        <f t="shared" ca="1" si="11"/>
        <v>27436.9308020112</v>
      </c>
      <c r="G25" s="109"/>
    </row>
    <row r="26" spans="1:24" x14ac:dyDescent="0.2">
      <c r="A26" s="3">
        <v>40787</v>
      </c>
      <c r="B26">
        <f t="shared" si="13"/>
        <v>2011</v>
      </c>
      <c r="C26">
        <f t="shared" si="10"/>
        <v>9</v>
      </c>
      <c r="D26" s="109">
        <f t="shared" ca="1" si="11"/>
        <v>30866.547152262599</v>
      </c>
      <c r="G26" s="109"/>
    </row>
    <row r="27" spans="1:24" x14ac:dyDescent="0.2">
      <c r="A27" s="3">
        <v>40817</v>
      </c>
      <c r="B27">
        <f t="shared" si="13"/>
        <v>2011</v>
      </c>
      <c r="C27">
        <f t="shared" si="10"/>
        <v>10</v>
      </c>
      <c r="D27" s="109">
        <f t="shared" ca="1" si="11"/>
        <v>34296.163502513999</v>
      </c>
      <c r="G27" s="109"/>
    </row>
    <row r="28" spans="1:24" x14ac:dyDescent="0.2">
      <c r="A28" s="3">
        <v>40848</v>
      </c>
      <c r="B28">
        <f t="shared" si="13"/>
        <v>2011</v>
      </c>
      <c r="C28">
        <f t="shared" si="10"/>
        <v>11</v>
      </c>
      <c r="D28" s="109">
        <f t="shared" ca="1" si="11"/>
        <v>37725.779852765401</v>
      </c>
      <c r="G28" s="109"/>
    </row>
    <row r="29" spans="1:24" x14ac:dyDescent="0.2">
      <c r="A29" s="3">
        <v>40878</v>
      </c>
      <c r="B29">
        <f t="shared" si="13"/>
        <v>2011</v>
      </c>
      <c r="C29">
        <f t="shared" si="10"/>
        <v>12</v>
      </c>
      <c r="D29" s="109">
        <f t="shared" ca="1" si="11"/>
        <v>41155.396203016804</v>
      </c>
      <c r="G29" s="109"/>
    </row>
    <row r="30" spans="1:24" x14ac:dyDescent="0.2">
      <c r="A30" s="3">
        <v>40909</v>
      </c>
      <c r="B30">
        <f t="shared" si="13"/>
        <v>2012</v>
      </c>
      <c r="C30">
        <f t="shared" si="10"/>
        <v>1</v>
      </c>
      <c r="D30" s="109">
        <f t="shared" ca="1" si="11"/>
        <v>52230.414091414554</v>
      </c>
      <c r="G30" s="109"/>
    </row>
    <row r="31" spans="1:24" x14ac:dyDescent="0.2">
      <c r="A31" s="3">
        <v>40940</v>
      </c>
      <c r="B31">
        <f t="shared" si="13"/>
        <v>2012</v>
      </c>
      <c r="C31">
        <f t="shared" si="10"/>
        <v>2</v>
      </c>
      <c r="D31" s="109">
        <f t="shared" ca="1" si="11"/>
        <v>59875.815629560908</v>
      </c>
      <c r="G31" s="109"/>
    </row>
    <row r="32" spans="1:24" x14ac:dyDescent="0.2">
      <c r="A32" s="3">
        <v>40969</v>
      </c>
      <c r="B32">
        <f t="shared" si="13"/>
        <v>2012</v>
      </c>
      <c r="C32">
        <f t="shared" si="10"/>
        <v>3</v>
      </c>
      <c r="D32" s="109">
        <f t="shared" ca="1" si="11"/>
        <v>67521.217167707262</v>
      </c>
      <c r="G32" s="109"/>
    </row>
    <row r="33" spans="1:7" x14ac:dyDescent="0.2">
      <c r="A33" s="3">
        <v>41000</v>
      </c>
      <c r="B33">
        <f t="shared" si="13"/>
        <v>2012</v>
      </c>
      <c r="C33">
        <f t="shared" si="10"/>
        <v>4</v>
      </c>
      <c r="D33" s="109">
        <f t="shared" ca="1" si="11"/>
        <v>75166.618705853616</v>
      </c>
      <c r="G33" s="109"/>
    </row>
    <row r="34" spans="1:7" x14ac:dyDescent="0.2">
      <c r="A34" s="3">
        <v>41030</v>
      </c>
      <c r="B34">
        <f t="shared" si="13"/>
        <v>2012</v>
      </c>
      <c r="C34">
        <f t="shared" si="10"/>
        <v>5</v>
      </c>
      <c r="D34" s="109">
        <f t="shared" ca="1" si="11"/>
        <v>82812.02024399997</v>
      </c>
      <c r="G34" s="109"/>
    </row>
    <row r="35" spans="1:7" x14ac:dyDescent="0.2">
      <c r="A35" s="3">
        <v>41061</v>
      </c>
      <c r="B35">
        <f t="shared" si="13"/>
        <v>2012</v>
      </c>
      <c r="C35">
        <f t="shared" si="10"/>
        <v>6</v>
      </c>
      <c r="D35" s="109">
        <f t="shared" ca="1" si="11"/>
        <v>90457.421782146324</v>
      </c>
      <c r="G35" s="109"/>
    </row>
    <row r="36" spans="1:7" x14ac:dyDescent="0.2">
      <c r="A36" s="3">
        <v>41091</v>
      </c>
      <c r="B36">
        <f t="shared" si="13"/>
        <v>2012</v>
      </c>
      <c r="C36">
        <f t="shared" si="10"/>
        <v>7</v>
      </c>
      <c r="D36" s="109">
        <f t="shared" ca="1" si="11"/>
        <v>98102.823320292679</v>
      </c>
      <c r="G36" s="109"/>
    </row>
    <row r="37" spans="1:7" x14ac:dyDescent="0.2">
      <c r="A37" s="3">
        <v>41122</v>
      </c>
      <c r="B37">
        <f t="shared" si="13"/>
        <v>2012</v>
      </c>
      <c r="C37">
        <f t="shared" si="10"/>
        <v>8</v>
      </c>
      <c r="D37" s="109">
        <f t="shared" ca="1" si="11"/>
        <v>105748.22485843903</v>
      </c>
      <c r="G37" s="109"/>
    </row>
    <row r="38" spans="1:7" x14ac:dyDescent="0.2">
      <c r="A38" s="3">
        <v>41153</v>
      </c>
      <c r="B38">
        <f t="shared" si="13"/>
        <v>2012</v>
      </c>
      <c r="C38">
        <f t="shared" si="10"/>
        <v>9</v>
      </c>
      <c r="D38" s="109">
        <f t="shared" ca="1" si="11"/>
        <v>113393.62639658539</v>
      </c>
      <c r="G38" s="109"/>
    </row>
    <row r="39" spans="1:7" x14ac:dyDescent="0.2">
      <c r="A39" s="3">
        <v>41183</v>
      </c>
      <c r="B39">
        <f t="shared" si="13"/>
        <v>2012</v>
      </c>
      <c r="C39">
        <f t="shared" si="10"/>
        <v>10</v>
      </c>
      <c r="D39" s="109">
        <f t="shared" ca="1" si="11"/>
        <v>121039.02793473174</v>
      </c>
      <c r="G39" s="109"/>
    </row>
    <row r="40" spans="1:7" x14ac:dyDescent="0.2">
      <c r="A40" s="3">
        <v>41214</v>
      </c>
      <c r="B40">
        <f t="shared" si="13"/>
        <v>2012</v>
      </c>
      <c r="C40">
        <f t="shared" si="10"/>
        <v>11</v>
      </c>
      <c r="D40" s="109">
        <f t="shared" ca="1" si="11"/>
        <v>128684.4294728781</v>
      </c>
      <c r="G40" s="109"/>
    </row>
    <row r="41" spans="1:7" x14ac:dyDescent="0.2">
      <c r="A41" s="3">
        <v>41244</v>
      </c>
      <c r="B41">
        <f t="shared" si="13"/>
        <v>2012</v>
      </c>
      <c r="C41">
        <f t="shared" si="10"/>
        <v>12</v>
      </c>
      <c r="D41" s="109">
        <f t="shared" ca="1" si="11"/>
        <v>136329.83101102445</v>
      </c>
      <c r="G41" s="109"/>
    </row>
    <row r="42" spans="1:7" x14ac:dyDescent="0.2">
      <c r="A42" s="3">
        <v>41275</v>
      </c>
      <c r="B42">
        <f t="shared" si="13"/>
        <v>2013</v>
      </c>
      <c r="C42">
        <f t="shared" si="10"/>
        <v>1</v>
      </c>
      <c r="D42" s="109">
        <f t="shared" ca="1" si="11"/>
        <v>148142.84654301283</v>
      </c>
      <c r="G42" s="109"/>
    </row>
    <row r="43" spans="1:7" x14ac:dyDescent="0.2">
      <c r="A43" s="3">
        <v>41306</v>
      </c>
      <c r="B43">
        <f t="shared" si="13"/>
        <v>2013</v>
      </c>
      <c r="C43">
        <f t="shared" si="10"/>
        <v>2</v>
      </c>
      <c r="D43" s="109">
        <f t="shared" ca="1" si="11"/>
        <v>152310.46053685484</v>
      </c>
      <c r="G43" s="109"/>
    </row>
    <row r="44" spans="1:7" x14ac:dyDescent="0.2">
      <c r="A44" s="3">
        <v>41334</v>
      </c>
      <c r="B44">
        <f t="shared" si="13"/>
        <v>2013</v>
      </c>
      <c r="C44">
        <f t="shared" si="10"/>
        <v>3</v>
      </c>
      <c r="D44" s="109">
        <f t="shared" ca="1" si="11"/>
        <v>156478.07453069682</v>
      </c>
      <c r="G44" s="109"/>
    </row>
    <row r="45" spans="1:7" x14ac:dyDescent="0.2">
      <c r="A45" s="3">
        <v>41365</v>
      </c>
      <c r="B45">
        <f t="shared" si="13"/>
        <v>2013</v>
      </c>
      <c r="C45">
        <f t="shared" si="10"/>
        <v>4</v>
      </c>
      <c r="D45" s="109">
        <f t="shared" ca="1" si="11"/>
        <v>160645.68852453883</v>
      </c>
      <c r="G45" s="109"/>
    </row>
    <row r="46" spans="1:7" x14ac:dyDescent="0.2">
      <c r="A46" s="3">
        <v>41395</v>
      </c>
      <c r="B46">
        <f t="shared" si="13"/>
        <v>2013</v>
      </c>
      <c r="C46">
        <f t="shared" si="10"/>
        <v>5</v>
      </c>
      <c r="D46" s="109">
        <f t="shared" ca="1" si="11"/>
        <v>164813.30251838083</v>
      </c>
      <c r="G46" s="109"/>
    </row>
    <row r="47" spans="1:7" x14ac:dyDescent="0.2">
      <c r="A47" s="3">
        <v>41426</v>
      </c>
      <c r="B47">
        <f t="shared" si="13"/>
        <v>2013</v>
      </c>
      <c r="C47">
        <f t="shared" si="10"/>
        <v>6</v>
      </c>
      <c r="D47" s="109">
        <f t="shared" ca="1" si="11"/>
        <v>168980.91651222284</v>
      </c>
      <c r="G47" s="109"/>
    </row>
    <row r="48" spans="1:7" x14ac:dyDescent="0.2">
      <c r="A48" s="3">
        <v>41456</v>
      </c>
      <c r="B48">
        <f t="shared" si="13"/>
        <v>2013</v>
      </c>
      <c r="C48">
        <f t="shared" si="10"/>
        <v>7</v>
      </c>
      <c r="D48" s="109">
        <f t="shared" ca="1" si="11"/>
        <v>173148.53050606482</v>
      </c>
      <c r="G48" s="109"/>
    </row>
    <row r="49" spans="1:7" x14ac:dyDescent="0.2">
      <c r="A49" s="3">
        <v>41487</v>
      </c>
      <c r="B49">
        <f t="shared" si="13"/>
        <v>2013</v>
      </c>
      <c r="C49">
        <f t="shared" si="10"/>
        <v>8</v>
      </c>
      <c r="D49" s="109">
        <f t="shared" ca="1" si="11"/>
        <v>177316.14449990683</v>
      </c>
      <c r="G49" s="109"/>
    </row>
    <row r="50" spans="1:7" x14ac:dyDescent="0.2">
      <c r="A50" s="3">
        <v>41518</v>
      </c>
      <c r="B50">
        <f t="shared" si="13"/>
        <v>2013</v>
      </c>
      <c r="C50">
        <f t="shared" ref="C50:C81" si="15">MONTH(A50)</f>
        <v>9</v>
      </c>
      <c r="D50" s="109">
        <f t="shared" ref="D50:D81" ca="1" si="16">VLOOKUP(B50,$A$4:$C$15,3,FALSE)/12+VLOOKUP(B50,$A$4:$G$15,7,FALSE)*C50</f>
        <v>181483.75849374884</v>
      </c>
      <c r="G50" s="109"/>
    </row>
    <row r="51" spans="1:7" x14ac:dyDescent="0.2">
      <c r="A51" s="3">
        <v>41548</v>
      </c>
      <c r="B51">
        <f t="shared" si="13"/>
        <v>2013</v>
      </c>
      <c r="C51">
        <f t="shared" si="15"/>
        <v>10</v>
      </c>
      <c r="D51" s="109">
        <f t="shared" ca="1" si="16"/>
        <v>185651.37248759085</v>
      </c>
      <c r="G51" s="109"/>
    </row>
    <row r="52" spans="1:7" x14ac:dyDescent="0.2">
      <c r="A52" s="3">
        <v>41579</v>
      </c>
      <c r="B52">
        <f t="shared" si="13"/>
        <v>2013</v>
      </c>
      <c r="C52">
        <f t="shared" si="15"/>
        <v>11</v>
      </c>
      <c r="D52" s="109">
        <f t="shared" ca="1" si="16"/>
        <v>189818.98648143286</v>
      </c>
      <c r="G52" s="109"/>
    </row>
    <row r="53" spans="1:7" x14ac:dyDescent="0.2">
      <c r="A53" s="3">
        <v>41609</v>
      </c>
      <c r="B53">
        <f t="shared" si="13"/>
        <v>2013</v>
      </c>
      <c r="C53">
        <f t="shared" si="15"/>
        <v>12</v>
      </c>
      <c r="D53" s="109">
        <f t="shared" ca="1" si="16"/>
        <v>193986.60047527484</v>
      </c>
      <c r="G53" s="109"/>
    </row>
    <row r="54" spans="1:7" x14ac:dyDescent="0.2">
      <c r="A54" s="3">
        <v>41640</v>
      </c>
      <c r="B54">
        <f t="shared" si="13"/>
        <v>2014</v>
      </c>
      <c r="C54">
        <f t="shared" si="15"/>
        <v>1</v>
      </c>
      <c r="D54" s="109">
        <f t="shared" ca="1" si="16"/>
        <v>203860.51658636567</v>
      </c>
      <c r="G54" s="109"/>
    </row>
    <row r="55" spans="1:7" x14ac:dyDescent="0.2">
      <c r="A55" s="3">
        <v>41671</v>
      </c>
      <c r="B55">
        <f t="shared" si="13"/>
        <v>2014</v>
      </c>
      <c r="C55">
        <f t="shared" si="15"/>
        <v>2</v>
      </c>
      <c r="D55" s="109">
        <f t="shared" ca="1" si="16"/>
        <v>209554.41711869786</v>
      </c>
      <c r="G55" s="109"/>
    </row>
    <row r="56" spans="1:7" x14ac:dyDescent="0.2">
      <c r="A56" s="3">
        <v>41699</v>
      </c>
      <c r="B56">
        <f t="shared" si="13"/>
        <v>2014</v>
      </c>
      <c r="C56">
        <f t="shared" si="15"/>
        <v>3</v>
      </c>
      <c r="D56" s="109">
        <f t="shared" ca="1" si="16"/>
        <v>215248.31765103003</v>
      </c>
      <c r="G56" s="109"/>
    </row>
    <row r="57" spans="1:7" x14ac:dyDescent="0.2">
      <c r="A57" s="3">
        <v>41730</v>
      </c>
      <c r="B57">
        <f t="shared" si="13"/>
        <v>2014</v>
      </c>
      <c r="C57">
        <f t="shared" si="15"/>
        <v>4</v>
      </c>
      <c r="D57" s="109">
        <f t="shared" ca="1" si="16"/>
        <v>220942.21818336219</v>
      </c>
      <c r="G57" s="109"/>
    </row>
    <row r="58" spans="1:7" x14ac:dyDescent="0.2">
      <c r="A58" s="3">
        <v>41760</v>
      </c>
      <c r="B58">
        <f t="shared" si="13"/>
        <v>2014</v>
      </c>
      <c r="C58">
        <f t="shared" si="15"/>
        <v>5</v>
      </c>
      <c r="D58" s="109">
        <f t="shared" ca="1" si="16"/>
        <v>226636.11871569435</v>
      </c>
      <c r="G58" s="109"/>
    </row>
    <row r="59" spans="1:7" x14ac:dyDescent="0.2">
      <c r="A59" s="3">
        <v>41791</v>
      </c>
      <c r="B59">
        <f t="shared" si="13"/>
        <v>2014</v>
      </c>
      <c r="C59">
        <f t="shared" si="15"/>
        <v>6</v>
      </c>
      <c r="D59" s="109">
        <f t="shared" ca="1" si="16"/>
        <v>232330.01924802654</v>
      </c>
      <c r="G59" s="109"/>
    </row>
    <row r="60" spans="1:7" x14ac:dyDescent="0.2">
      <c r="A60" s="3">
        <v>41821</v>
      </c>
      <c r="B60">
        <f t="shared" si="13"/>
        <v>2014</v>
      </c>
      <c r="C60">
        <f t="shared" si="15"/>
        <v>7</v>
      </c>
      <c r="D60" s="109">
        <f t="shared" ca="1" si="16"/>
        <v>238023.9197803587</v>
      </c>
      <c r="G60" s="109"/>
    </row>
    <row r="61" spans="1:7" x14ac:dyDescent="0.2">
      <c r="A61" s="3">
        <v>41852</v>
      </c>
      <c r="B61">
        <f t="shared" si="13"/>
        <v>2014</v>
      </c>
      <c r="C61">
        <f t="shared" si="15"/>
        <v>8</v>
      </c>
      <c r="D61" s="109">
        <f t="shared" ca="1" si="16"/>
        <v>243717.82031269086</v>
      </c>
      <c r="G61" s="109"/>
    </row>
    <row r="62" spans="1:7" x14ac:dyDescent="0.2">
      <c r="A62" s="3">
        <v>41883</v>
      </c>
      <c r="B62">
        <f t="shared" si="13"/>
        <v>2014</v>
      </c>
      <c r="C62">
        <f t="shared" si="15"/>
        <v>9</v>
      </c>
      <c r="D62" s="109">
        <f t="shared" ca="1" si="16"/>
        <v>249411.72084502305</v>
      </c>
      <c r="G62" s="109"/>
    </row>
    <row r="63" spans="1:7" x14ac:dyDescent="0.2">
      <c r="A63" s="3">
        <v>41913</v>
      </c>
      <c r="B63">
        <f t="shared" si="13"/>
        <v>2014</v>
      </c>
      <c r="C63">
        <f t="shared" si="15"/>
        <v>10</v>
      </c>
      <c r="D63" s="109">
        <f t="shared" ca="1" si="16"/>
        <v>255105.62137735522</v>
      </c>
      <c r="G63" s="109"/>
    </row>
    <row r="64" spans="1:7" x14ac:dyDescent="0.2">
      <c r="A64" s="3">
        <v>41944</v>
      </c>
      <c r="B64">
        <f t="shared" si="13"/>
        <v>2014</v>
      </c>
      <c r="C64">
        <f t="shared" si="15"/>
        <v>11</v>
      </c>
      <c r="D64" s="109">
        <f t="shared" ca="1" si="16"/>
        <v>260799.52190968738</v>
      </c>
      <c r="G64" s="109"/>
    </row>
    <row r="65" spans="1:7" x14ac:dyDescent="0.2">
      <c r="A65" s="3">
        <v>41974</v>
      </c>
      <c r="B65">
        <f t="shared" si="13"/>
        <v>2014</v>
      </c>
      <c r="C65">
        <f t="shared" si="15"/>
        <v>12</v>
      </c>
      <c r="D65" s="109">
        <f t="shared" ca="1" si="16"/>
        <v>266493.42244201957</v>
      </c>
      <c r="G65" s="109"/>
    </row>
    <row r="66" spans="1:7" x14ac:dyDescent="0.2">
      <c r="A66" s="3">
        <v>42005</v>
      </c>
      <c r="B66">
        <f t="shared" si="13"/>
        <v>2015</v>
      </c>
      <c r="C66">
        <f t="shared" si="15"/>
        <v>1</v>
      </c>
      <c r="D66" s="109">
        <f t="shared" ca="1" si="16"/>
        <v>292317.35638691939</v>
      </c>
      <c r="G66" s="109"/>
    </row>
    <row r="67" spans="1:7" x14ac:dyDescent="0.2">
      <c r="A67" s="3">
        <v>42036</v>
      </c>
      <c r="B67">
        <f t="shared" si="13"/>
        <v>2015</v>
      </c>
      <c r="C67">
        <f t="shared" si="15"/>
        <v>2</v>
      </c>
      <c r="D67" s="109">
        <f t="shared" ca="1" si="16"/>
        <v>305441.31464606267</v>
      </c>
      <c r="G67" s="109"/>
    </row>
    <row r="68" spans="1:7" x14ac:dyDescent="0.2">
      <c r="A68" s="3">
        <v>42064</v>
      </c>
      <c r="B68">
        <f t="shared" si="13"/>
        <v>2015</v>
      </c>
      <c r="C68">
        <f t="shared" si="15"/>
        <v>3</v>
      </c>
      <c r="D68" s="109">
        <f t="shared" ca="1" si="16"/>
        <v>318565.27290520596</v>
      </c>
      <c r="G68" s="109"/>
    </row>
    <row r="69" spans="1:7" x14ac:dyDescent="0.2">
      <c r="A69" s="3">
        <v>42095</v>
      </c>
      <c r="B69">
        <f t="shared" si="13"/>
        <v>2015</v>
      </c>
      <c r="C69">
        <f t="shared" si="15"/>
        <v>4</v>
      </c>
      <c r="D69" s="109">
        <f t="shared" ca="1" si="16"/>
        <v>331689.23116434924</v>
      </c>
      <c r="G69" s="109"/>
    </row>
    <row r="70" spans="1:7" x14ac:dyDescent="0.2">
      <c r="A70" s="3">
        <v>42125</v>
      </c>
      <c r="B70">
        <f t="shared" si="13"/>
        <v>2015</v>
      </c>
      <c r="C70">
        <f t="shared" si="15"/>
        <v>5</v>
      </c>
      <c r="D70" s="109">
        <f t="shared" ca="1" si="16"/>
        <v>344813.18942349253</v>
      </c>
      <c r="G70" s="109"/>
    </row>
    <row r="71" spans="1:7" x14ac:dyDescent="0.2">
      <c r="A71" s="3">
        <v>42156</v>
      </c>
      <c r="B71">
        <f t="shared" si="13"/>
        <v>2015</v>
      </c>
      <c r="C71">
        <f t="shared" si="15"/>
        <v>6</v>
      </c>
      <c r="D71" s="109">
        <f t="shared" ca="1" si="16"/>
        <v>357937.14768263581</v>
      </c>
      <c r="G71" s="109"/>
    </row>
    <row r="72" spans="1:7" x14ac:dyDescent="0.2">
      <c r="A72" s="3">
        <v>42186</v>
      </c>
      <c r="B72">
        <f t="shared" si="13"/>
        <v>2015</v>
      </c>
      <c r="C72">
        <f t="shared" si="15"/>
        <v>7</v>
      </c>
      <c r="D72" s="109">
        <f t="shared" ca="1" si="16"/>
        <v>371061.1059417791</v>
      </c>
      <c r="G72" s="109"/>
    </row>
    <row r="73" spans="1:7" x14ac:dyDescent="0.2">
      <c r="A73" s="3">
        <v>42217</v>
      </c>
      <c r="B73">
        <f t="shared" si="13"/>
        <v>2015</v>
      </c>
      <c r="C73">
        <f t="shared" si="15"/>
        <v>8</v>
      </c>
      <c r="D73" s="109">
        <f t="shared" ca="1" si="16"/>
        <v>384185.06420092238</v>
      </c>
      <c r="G73" s="109"/>
    </row>
    <row r="74" spans="1:7" x14ac:dyDescent="0.2">
      <c r="A74" s="3">
        <v>42248</v>
      </c>
      <c r="B74">
        <f t="shared" si="13"/>
        <v>2015</v>
      </c>
      <c r="C74">
        <f t="shared" si="15"/>
        <v>9</v>
      </c>
      <c r="D74" s="109">
        <f t="shared" ca="1" si="16"/>
        <v>397309.02246006567</v>
      </c>
      <c r="G74" s="109"/>
    </row>
    <row r="75" spans="1:7" x14ac:dyDescent="0.2">
      <c r="A75" s="3">
        <v>42278</v>
      </c>
      <c r="B75">
        <f t="shared" si="13"/>
        <v>2015</v>
      </c>
      <c r="C75">
        <f t="shared" si="15"/>
        <v>10</v>
      </c>
      <c r="D75" s="109">
        <f t="shared" ca="1" si="16"/>
        <v>410432.98071920895</v>
      </c>
      <c r="G75" s="109"/>
    </row>
    <row r="76" spans="1:7" x14ac:dyDescent="0.2">
      <c r="A76" s="3">
        <v>42309</v>
      </c>
      <c r="B76">
        <f t="shared" si="13"/>
        <v>2015</v>
      </c>
      <c r="C76">
        <f t="shared" si="15"/>
        <v>11</v>
      </c>
      <c r="D76" s="109">
        <f t="shared" ca="1" si="16"/>
        <v>423556.93897835223</v>
      </c>
      <c r="G76" s="109"/>
    </row>
    <row r="77" spans="1:7" x14ac:dyDescent="0.2">
      <c r="A77" s="3">
        <v>42339</v>
      </c>
      <c r="B77">
        <f t="shared" si="13"/>
        <v>2015</v>
      </c>
      <c r="C77">
        <f t="shared" si="15"/>
        <v>12</v>
      </c>
      <c r="D77" s="109">
        <f t="shared" ca="1" si="16"/>
        <v>436680.89723749558</v>
      </c>
      <c r="G77" s="109"/>
    </row>
    <row r="78" spans="1:7" x14ac:dyDescent="0.2">
      <c r="A78" s="3">
        <v>42370</v>
      </c>
      <c r="B78">
        <f t="shared" si="13"/>
        <v>2016</v>
      </c>
      <c r="C78">
        <f t="shared" si="15"/>
        <v>1</v>
      </c>
      <c r="D78" s="109">
        <f t="shared" ca="1" si="16"/>
        <v>471046.14177012874</v>
      </c>
      <c r="G78" s="109"/>
    </row>
    <row r="79" spans="1:7" x14ac:dyDescent="0.2">
      <c r="A79" s="3">
        <v>42401</v>
      </c>
      <c r="B79">
        <f t="shared" si="13"/>
        <v>2016</v>
      </c>
      <c r="C79">
        <f t="shared" si="15"/>
        <v>2</v>
      </c>
      <c r="D79" s="109">
        <f t="shared" ca="1" si="16"/>
        <v>483582.94839471672</v>
      </c>
      <c r="G79" s="109"/>
    </row>
    <row r="80" spans="1:7" x14ac:dyDescent="0.2">
      <c r="A80" s="3">
        <v>42430</v>
      </c>
      <c r="B80">
        <f t="shared" si="13"/>
        <v>2016</v>
      </c>
      <c r="C80">
        <f t="shared" si="15"/>
        <v>3</v>
      </c>
      <c r="D80" s="109">
        <f t="shared" ca="1" si="16"/>
        <v>496119.75501930469</v>
      </c>
      <c r="G80" s="109"/>
    </row>
    <row r="81" spans="1:7" x14ac:dyDescent="0.2">
      <c r="A81" s="3">
        <v>42461</v>
      </c>
      <c r="B81">
        <f t="shared" si="13"/>
        <v>2016</v>
      </c>
      <c r="C81">
        <f t="shared" si="15"/>
        <v>4</v>
      </c>
      <c r="D81" s="109">
        <f t="shared" ca="1" si="16"/>
        <v>508656.56164389261</v>
      </c>
      <c r="G81" s="109"/>
    </row>
    <row r="82" spans="1:7" x14ac:dyDescent="0.2">
      <c r="A82" s="3">
        <v>42491</v>
      </c>
      <c r="B82">
        <f t="shared" si="13"/>
        <v>2016</v>
      </c>
      <c r="C82">
        <f t="shared" ref="C82:C113" si="17">MONTH(A82)</f>
        <v>5</v>
      </c>
      <c r="D82" s="109">
        <f t="shared" ref="D82:D113" ca="1" si="18">VLOOKUP(B82,$A$4:$C$15,3,FALSE)/12+VLOOKUP(B82,$A$4:$G$15,7,FALSE)*C82</f>
        <v>521193.36826848052</v>
      </c>
      <c r="G82" s="109"/>
    </row>
    <row r="83" spans="1:7" x14ac:dyDescent="0.2">
      <c r="A83" s="3">
        <v>42522</v>
      </c>
      <c r="B83">
        <f t="shared" ref="B83:B146" si="19">YEAR(A83)</f>
        <v>2016</v>
      </c>
      <c r="C83">
        <f t="shared" si="17"/>
        <v>6</v>
      </c>
      <c r="D83" s="109">
        <f t="shared" ca="1" si="18"/>
        <v>533730.1748930685</v>
      </c>
      <c r="G83" s="109"/>
    </row>
    <row r="84" spans="1:7" x14ac:dyDescent="0.2">
      <c r="A84" s="3">
        <v>42552</v>
      </c>
      <c r="B84">
        <f t="shared" si="19"/>
        <v>2016</v>
      </c>
      <c r="C84">
        <f t="shared" si="17"/>
        <v>7</v>
      </c>
      <c r="D84" s="109">
        <f t="shared" ca="1" si="18"/>
        <v>546266.98151765647</v>
      </c>
      <c r="G84" s="109"/>
    </row>
    <row r="85" spans="1:7" x14ac:dyDescent="0.2">
      <c r="A85" s="3">
        <v>42583</v>
      </c>
      <c r="B85">
        <f t="shared" si="19"/>
        <v>2016</v>
      </c>
      <c r="C85">
        <f t="shared" si="17"/>
        <v>8</v>
      </c>
      <c r="D85" s="109">
        <f t="shared" ca="1" si="18"/>
        <v>558803.78814224433</v>
      </c>
      <c r="G85" s="109"/>
    </row>
    <row r="86" spans="1:7" x14ac:dyDescent="0.2">
      <c r="A86" s="3">
        <v>42614</v>
      </c>
      <c r="B86">
        <f t="shared" si="19"/>
        <v>2016</v>
      </c>
      <c r="C86">
        <f t="shared" si="17"/>
        <v>9</v>
      </c>
      <c r="D86" s="109">
        <f t="shared" ca="1" si="18"/>
        <v>571340.59476683231</v>
      </c>
      <c r="G86" s="109"/>
    </row>
    <row r="87" spans="1:7" x14ac:dyDescent="0.2">
      <c r="A87" s="3">
        <v>42644</v>
      </c>
      <c r="B87">
        <f t="shared" si="19"/>
        <v>2016</v>
      </c>
      <c r="C87">
        <f t="shared" si="17"/>
        <v>10</v>
      </c>
      <c r="D87" s="109">
        <f t="shared" ca="1" si="18"/>
        <v>583877.40139142028</v>
      </c>
      <c r="G87" s="109"/>
    </row>
    <row r="88" spans="1:7" x14ac:dyDescent="0.2">
      <c r="A88" s="3">
        <v>42675</v>
      </c>
      <c r="B88">
        <f t="shared" si="19"/>
        <v>2016</v>
      </c>
      <c r="C88">
        <f t="shared" si="17"/>
        <v>11</v>
      </c>
      <c r="D88" s="109">
        <f t="shared" ca="1" si="18"/>
        <v>596414.20801600826</v>
      </c>
      <c r="G88" s="109"/>
    </row>
    <row r="89" spans="1:7" x14ac:dyDescent="0.2">
      <c r="A89" s="3">
        <v>42705</v>
      </c>
      <c r="B89">
        <f t="shared" si="19"/>
        <v>2016</v>
      </c>
      <c r="C89">
        <f t="shared" si="17"/>
        <v>12</v>
      </c>
      <c r="D89" s="109">
        <f t="shared" ca="1" si="18"/>
        <v>608951.01464059623</v>
      </c>
      <c r="G89" s="109"/>
    </row>
    <row r="90" spans="1:7" x14ac:dyDescent="0.2">
      <c r="A90" s="3">
        <v>42736</v>
      </c>
      <c r="B90">
        <f t="shared" si="19"/>
        <v>2017</v>
      </c>
      <c r="C90">
        <f t="shared" si="17"/>
        <v>1</v>
      </c>
      <c r="D90" s="109">
        <f t="shared" ca="1" si="18"/>
        <v>644967.00759663025</v>
      </c>
      <c r="G90" s="109"/>
    </row>
    <row r="91" spans="1:7" x14ac:dyDescent="0.2">
      <c r="A91" s="3">
        <v>42767</v>
      </c>
      <c r="B91">
        <f t="shared" si="19"/>
        <v>2017</v>
      </c>
      <c r="C91">
        <f t="shared" si="17"/>
        <v>2</v>
      </c>
      <c r="D91" s="109">
        <f t="shared" ca="1" si="18"/>
        <v>658375.01058807177</v>
      </c>
      <c r="G91" s="109"/>
    </row>
    <row r="92" spans="1:7" x14ac:dyDescent="0.2">
      <c r="A92" s="3">
        <v>42795</v>
      </c>
      <c r="B92">
        <f t="shared" si="19"/>
        <v>2017</v>
      </c>
      <c r="C92">
        <f t="shared" si="17"/>
        <v>3</v>
      </c>
      <c r="D92" s="109">
        <f t="shared" ca="1" si="18"/>
        <v>671783.01357951318</v>
      </c>
      <c r="G92" s="109"/>
    </row>
    <row r="93" spans="1:7" x14ac:dyDescent="0.2">
      <c r="A93" s="3">
        <v>42826</v>
      </c>
      <c r="B93">
        <f t="shared" si="19"/>
        <v>2017</v>
      </c>
      <c r="C93">
        <f t="shared" si="17"/>
        <v>4</v>
      </c>
      <c r="D93" s="109">
        <f t="shared" ca="1" si="18"/>
        <v>685191.0165709547</v>
      </c>
      <c r="G93" s="109"/>
    </row>
    <row r="94" spans="1:7" x14ac:dyDescent="0.2">
      <c r="A94" s="3">
        <v>42856</v>
      </c>
      <c r="B94">
        <f t="shared" si="19"/>
        <v>2017</v>
      </c>
      <c r="C94">
        <f t="shared" si="17"/>
        <v>5</v>
      </c>
      <c r="D94" s="109">
        <f t="shared" ca="1" si="18"/>
        <v>698599.0195623961</v>
      </c>
      <c r="G94" s="109"/>
    </row>
    <row r="95" spans="1:7" x14ac:dyDescent="0.2">
      <c r="A95" s="3">
        <v>42887</v>
      </c>
      <c r="B95">
        <f t="shared" si="19"/>
        <v>2017</v>
      </c>
      <c r="C95">
        <f t="shared" si="17"/>
        <v>6</v>
      </c>
      <c r="D95" s="109">
        <f t="shared" ca="1" si="18"/>
        <v>712007.02255383763</v>
      </c>
      <c r="G95" s="109"/>
    </row>
    <row r="96" spans="1:7" x14ac:dyDescent="0.2">
      <c r="A96" s="3">
        <v>42917</v>
      </c>
      <c r="B96">
        <f t="shared" si="19"/>
        <v>2017</v>
      </c>
      <c r="C96">
        <f t="shared" si="17"/>
        <v>7</v>
      </c>
      <c r="D96" s="109">
        <f t="shared" ca="1" si="18"/>
        <v>725415.02554527903</v>
      </c>
      <c r="G96" s="109"/>
    </row>
    <row r="97" spans="1:7" x14ac:dyDescent="0.2">
      <c r="A97" s="3">
        <v>42948</v>
      </c>
      <c r="B97">
        <f t="shared" si="19"/>
        <v>2017</v>
      </c>
      <c r="C97">
        <f t="shared" si="17"/>
        <v>8</v>
      </c>
      <c r="D97" s="109">
        <f t="shared" ca="1" si="18"/>
        <v>738823.02853672043</v>
      </c>
      <c r="G97" s="109"/>
    </row>
    <row r="98" spans="1:7" x14ac:dyDescent="0.2">
      <c r="A98" s="3">
        <v>42979</v>
      </c>
      <c r="B98">
        <f t="shared" si="19"/>
        <v>2017</v>
      </c>
      <c r="C98">
        <f t="shared" si="17"/>
        <v>9</v>
      </c>
      <c r="D98" s="109">
        <f t="shared" ca="1" si="18"/>
        <v>752231.03152816196</v>
      </c>
      <c r="G98" s="109"/>
    </row>
    <row r="99" spans="1:7" x14ac:dyDescent="0.2">
      <c r="A99" s="3">
        <v>43009</v>
      </c>
      <c r="B99">
        <f t="shared" si="19"/>
        <v>2017</v>
      </c>
      <c r="C99">
        <f t="shared" si="17"/>
        <v>10</v>
      </c>
      <c r="D99" s="109">
        <f t="shared" ca="1" si="18"/>
        <v>765639.03451960348</v>
      </c>
      <c r="G99" s="109"/>
    </row>
    <row r="100" spans="1:7" x14ac:dyDescent="0.2">
      <c r="A100" s="3">
        <v>43040</v>
      </c>
      <c r="B100">
        <f t="shared" si="19"/>
        <v>2017</v>
      </c>
      <c r="C100">
        <f t="shared" si="17"/>
        <v>11</v>
      </c>
      <c r="D100" s="109">
        <f t="shared" ca="1" si="18"/>
        <v>779047.03751104488</v>
      </c>
      <c r="G100" s="109"/>
    </row>
    <row r="101" spans="1:7" x14ac:dyDescent="0.2">
      <c r="A101" s="3">
        <v>43070</v>
      </c>
      <c r="B101">
        <f t="shared" si="19"/>
        <v>2017</v>
      </c>
      <c r="C101">
        <f t="shared" si="17"/>
        <v>12</v>
      </c>
      <c r="D101" s="109">
        <f t="shared" ca="1" si="18"/>
        <v>792455.04050248628</v>
      </c>
      <c r="G101" s="109"/>
    </row>
    <row r="102" spans="1:7" x14ac:dyDescent="0.2">
      <c r="A102" s="3">
        <v>43101</v>
      </c>
      <c r="B102">
        <f t="shared" si="19"/>
        <v>2018</v>
      </c>
      <c r="C102">
        <f t="shared" si="17"/>
        <v>1</v>
      </c>
      <c r="D102" s="109">
        <f t="shared" ca="1" si="18"/>
        <v>838056.0469939328</v>
      </c>
      <c r="G102" s="109"/>
    </row>
    <row r="103" spans="1:7" x14ac:dyDescent="0.2">
      <c r="A103" s="3">
        <v>43132</v>
      </c>
      <c r="B103">
        <f t="shared" si="19"/>
        <v>2018</v>
      </c>
      <c r="C103">
        <f t="shared" si="17"/>
        <v>2</v>
      </c>
      <c r="D103" s="109">
        <f t="shared" ca="1" si="18"/>
        <v>838912.80951703142</v>
      </c>
      <c r="G103" s="109"/>
    </row>
    <row r="104" spans="1:7" x14ac:dyDescent="0.2">
      <c r="A104" s="3">
        <v>43160</v>
      </c>
      <c r="B104">
        <f t="shared" si="19"/>
        <v>2018</v>
      </c>
      <c r="C104">
        <f t="shared" si="17"/>
        <v>3</v>
      </c>
      <c r="D104" s="109">
        <f t="shared" ca="1" si="18"/>
        <v>839769.57204013004</v>
      </c>
      <c r="G104" s="109"/>
    </row>
    <row r="105" spans="1:7" x14ac:dyDescent="0.2">
      <c r="A105" s="3">
        <v>43191</v>
      </c>
      <c r="B105">
        <f t="shared" si="19"/>
        <v>2018</v>
      </c>
      <c r="C105">
        <f t="shared" si="17"/>
        <v>4</v>
      </c>
      <c r="D105" s="109">
        <f t="shared" ca="1" si="18"/>
        <v>840626.33456322865</v>
      </c>
      <c r="G105" s="109"/>
    </row>
    <row r="106" spans="1:7" x14ac:dyDescent="0.2">
      <c r="A106" s="3">
        <v>43221</v>
      </c>
      <c r="B106">
        <f t="shared" si="19"/>
        <v>2018</v>
      </c>
      <c r="C106">
        <f t="shared" si="17"/>
        <v>5</v>
      </c>
      <c r="D106" s="109">
        <f t="shared" ca="1" si="18"/>
        <v>841483.09708632727</v>
      </c>
      <c r="G106" s="109"/>
    </row>
    <row r="107" spans="1:7" x14ac:dyDescent="0.2">
      <c r="A107" s="3">
        <v>43252</v>
      </c>
      <c r="B107">
        <f t="shared" si="19"/>
        <v>2018</v>
      </c>
      <c r="C107">
        <f t="shared" si="17"/>
        <v>6</v>
      </c>
      <c r="D107" s="109">
        <f t="shared" ca="1" si="18"/>
        <v>842339.85960942588</v>
      </c>
      <c r="G107" s="109"/>
    </row>
    <row r="108" spans="1:7" x14ac:dyDescent="0.2">
      <c r="A108" s="3">
        <v>43282</v>
      </c>
      <c r="B108">
        <f t="shared" si="19"/>
        <v>2018</v>
      </c>
      <c r="C108">
        <f t="shared" si="17"/>
        <v>7</v>
      </c>
      <c r="D108" s="109">
        <f t="shared" ca="1" si="18"/>
        <v>843196.6221325245</v>
      </c>
      <c r="G108" s="109"/>
    </row>
    <row r="109" spans="1:7" x14ac:dyDescent="0.2">
      <c r="A109" s="3">
        <v>43313</v>
      </c>
      <c r="B109">
        <f t="shared" si="19"/>
        <v>2018</v>
      </c>
      <c r="C109">
        <f t="shared" si="17"/>
        <v>8</v>
      </c>
      <c r="D109" s="109">
        <f t="shared" ca="1" si="18"/>
        <v>844053.38465562311</v>
      </c>
      <c r="G109" s="109"/>
    </row>
    <row r="110" spans="1:7" x14ac:dyDescent="0.2">
      <c r="A110" s="3">
        <v>43344</v>
      </c>
      <c r="B110">
        <f t="shared" si="19"/>
        <v>2018</v>
      </c>
      <c r="C110">
        <f t="shared" si="17"/>
        <v>9</v>
      </c>
      <c r="D110" s="109">
        <f t="shared" ca="1" si="18"/>
        <v>844910.14717872173</v>
      </c>
      <c r="G110" s="109"/>
    </row>
    <row r="111" spans="1:7" x14ac:dyDescent="0.2">
      <c r="A111" s="3">
        <v>43374</v>
      </c>
      <c r="B111">
        <f t="shared" si="19"/>
        <v>2018</v>
      </c>
      <c r="C111">
        <f t="shared" si="17"/>
        <v>10</v>
      </c>
      <c r="D111" s="109">
        <f t="shared" ca="1" si="18"/>
        <v>845766.90970182035</v>
      </c>
      <c r="G111" s="109"/>
    </row>
    <row r="112" spans="1:7" x14ac:dyDescent="0.2">
      <c r="A112" s="3">
        <v>43405</v>
      </c>
      <c r="B112">
        <f t="shared" si="19"/>
        <v>2018</v>
      </c>
      <c r="C112">
        <f t="shared" si="17"/>
        <v>11</v>
      </c>
      <c r="D112" s="109">
        <f t="shared" ca="1" si="18"/>
        <v>846623.67222491896</v>
      </c>
      <c r="G112" s="109"/>
    </row>
    <row r="113" spans="1:7" x14ac:dyDescent="0.2">
      <c r="A113" s="3">
        <v>43435</v>
      </c>
      <c r="B113">
        <f t="shared" si="19"/>
        <v>2018</v>
      </c>
      <c r="C113">
        <f t="shared" si="17"/>
        <v>12</v>
      </c>
      <c r="D113" s="109">
        <f t="shared" ca="1" si="18"/>
        <v>847480.43474801758</v>
      </c>
      <c r="G113" s="109"/>
    </row>
    <row r="114" spans="1:7" x14ac:dyDescent="0.2">
      <c r="A114" s="3">
        <v>43466</v>
      </c>
      <c r="B114">
        <f t="shared" si="19"/>
        <v>2019</v>
      </c>
      <c r="C114">
        <f t="shared" ref="C114:C145" si="20">MONTH(A114)</f>
        <v>1</v>
      </c>
      <c r="D114" s="109">
        <f t="shared" ref="D114:D145" ca="1" si="21">VLOOKUP(B114,$A$4:$C$15,3,FALSE)/12+VLOOKUP(B114,$A$4:$G$15,7,FALSE)*C114</f>
        <v>896792.23441008932</v>
      </c>
      <c r="G114" s="109"/>
    </row>
    <row r="115" spans="1:7" x14ac:dyDescent="0.2">
      <c r="A115" s="3">
        <v>43497</v>
      </c>
      <c r="B115">
        <f t="shared" si="19"/>
        <v>2019</v>
      </c>
      <c r="C115">
        <f t="shared" si="20"/>
        <v>2</v>
      </c>
      <c r="D115" s="109">
        <f t="shared" ca="1" si="21"/>
        <v>898596.21286400827</v>
      </c>
      <c r="G115" s="109"/>
    </row>
    <row r="116" spans="1:7" x14ac:dyDescent="0.2">
      <c r="A116" s="3">
        <v>43525</v>
      </c>
      <c r="B116">
        <f t="shared" si="19"/>
        <v>2019</v>
      </c>
      <c r="C116">
        <f t="shared" si="20"/>
        <v>3</v>
      </c>
      <c r="D116" s="109">
        <f t="shared" ca="1" si="21"/>
        <v>900400.19131792709</v>
      </c>
      <c r="G116" s="109"/>
    </row>
    <row r="117" spans="1:7" x14ac:dyDescent="0.2">
      <c r="A117" s="3">
        <v>43556</v>
      </c>
      <c r="B117">
        <f t="shared" si="19"/>
        <v>2019</v>
      </c>
      <c r="C117">
        <f t="shared" si="20"/>
        <v>4</v>
      </c>
      <c r="D117" s="109">
        <f t="shared" ca="1" si="21"/>
        <v>902204.16977184603</v>
      </c>
      <c r="G117" s="109"/>
    </row>
    <row r="118" spans="1:7" x14ac:dyDescent="0.2">
      <c r="A118" s="3">
        <v>43586</v>
      </c>
      <c r="B118">
        <f t="shared" si="19"/>
        <v>2019</v>
      </c>
      <c r="C118">
        <f t="shared" si="20"/>
        <v>5</v>
      </c>
      <c r="D118" s="109">
        <f t="shared" ca="1" si="21"/>
        <v>904008.14822576486</v>
      </c>
      <c r="G118" s="109"/>
    </row>
    <row r="119" spans="1:7" x14ac:dyDescent="0.2">
      <c r="A119" s="3">
        <v>43617</v>
      </c>
      <c r="B119">
        <f t="shared" si="19"/>
        <v>2019</v>
      </c>
      <c r="C119">
        <f t="shared" si="20"/>
        <v>6</v>
      </c>
      <c r="D119" s="109">
        <f t="shared" ca="1" si="21"/>
        <v>905812.12667968369</v>
      </c>
      <c r="G119" s="109"/>
    </row>
    <row r="120" spans="1:7" x14ac:dyDescent="0.2">
      <c r="A120" s="3">
        <v>43647</v>
      </c>
      <c r="B120">
        <f t="shared" si="19"/>
        <v>2019</v>
      </c>
      <c r="C120">
        <f t="shared" si="20"/>
        <v>7</v>
      </c>
      <c r="D120" s="109">
        <f t="shared" ca="1" si="21"/>
        <v>907616.10513360263</v>
      </c>
      <c r="G120" s="109"/>
    </row>
    <row r="121" spans="1:7" x14ac:dyDescent="0.2">
      <c r="A121" s="3">
        <v>43678</v>
      </c>
      <c r="B121">
        <f t="shared" si="19"/>
        <v>2019</v>
      </c>
      <c r="C121">
        <f t="shared" si="20"/>
        <v>8</v>
      </c>
      <c r="D121" s="109">
        <f t="shared" ca="1" si="21"/>
        <v>909420.08358752145</v>
      </c>
      <c r="G121" s="109"/>
    </row>
    <row r="122" spans="1:7" x14ac:dyDescent="0.2">
      <c r="A122" s="3">
        <v>43709</v>
      </c>
      <c r="B122">
        <f t="shared" si="19"/>
        <v>2019</v>
      </c>
      <c r="C122">
        <f t="shared" si="20"/>
        <v>9</v>
      </c>
      <c r="D122" s="109">
        <f t="shared" ca="1" si="21"/>
        <v>911224.0620414404</v>
      </c>
      <c r="G122" s="109"/>
    </row>
    <row r="123" spans="1:7" x14ac:dyDescent="0.2">
      <c r="A123" s="3">
        <v>43739</v>
      </c>
      <c r="B123">
        <f t="shared" si="19"/>
        <v>2019</v>
      </c>
      <c r="C123">
        <f t="shared" si="20"/>
        <v>10</v>
      </c>
      <c r="D123" s="109">
        <f t="shared" ca="1" si="21"/>
        <v>913028.04049535922</v>
      </c>
      <c r="G123" s="109"/>
    </row>
    <row r="124" spans="1:7" x14ac:dyDescent="0.2">
      <c r="A124" s="3">
        <v>43770</v>
      </c>
      <c r="B124">
        <f t="shared" si="19"/>
        <v>2019</v>
      </c>
      <c r="C124">
        <f t="shared" si="20"/>
        <v>11</v>
      </c>
      <c r="D124" s="109">
        <f t="shared" ca="1" si="21"/>
        <v>914832.01894927805</v>
      </c>
      <c r="G124" s="109"/>
    </row>
    <row r="125" spans="1:7" x14ac:dyDescent="0.2">
      <c r="A125" s="3">
        <v>43800</v>
      </c>
      <c r="B125">
        <f t="shared" si="19"/>
        <v>2019</v>
      </c>
      <c r="C125">
        <f t="shared" si="20"/>
        <v>12</v>
      </c>
      <c r="D125" s="109">
        <f t="shared" ca="1" si="21"/>
        <v>916635.99740319699</v>
      </c>
      <c r="G125" s="109"/>
    </row>
    <row r="126" spans="1:7" x14ac:dyDescent="0.2">
      <c r="A126" s="3">
        <v>43831</v>
      </c>
      <c r="B126">
        <f t="shared" si="19"/>
        <v>2020</v>
      </c>
      <c r="C126">
        <f t="shared" si="20"/>
        <v>1</v>
      </c>
      <c r="D126" s="109">
        <f t="shared" ca="1" si="21"/>
        <v>917901.90536950564</v>
      </c>
      <c r="G126" s="109"/>
    </row>
    <row r="127" spans="1:7" x14ac:dyDescent="0.2">
      <c r="A127" s="3">
        <v>43862</v>
      </c>
      <c r="B127">
        <f t="shared" si="19"/>
        <v>2020</v>
      </c>
      <c r="C127">
        <f t="shared" si="20"/>
        <v>2</v>
      </c>
      <c r="D127" s="109">
        <f t="shared" ca="1" si="21"/>
        <v>916389.01300639787</v>
      </c>
      <c r="G127" s="109"/>
    </row>
    <row r="128" spans="1:7" x14ac:dyDescent="0.2">
      <c r="A128" s="3">
        <v>43891</v>
      </c>
      <c r="B128">
        <f t="shared" si="19"/>
        <v>2020</v>
      </c>
      <c r="C128">
        <f t="shared" si="20"/>
        <v>3</v>
      </c>
      <c r="D128" s="109">
        <f t="shared" ca="1" si="21"/>
        <v>914876.12064328999</v>
      </c>
      <c r="G128" s="109"/>
    </row>
    <row r="129" spans="1:7" x14ac:dyDescent="0.2">
      <c r="A129" s="3">
        <v>43922</v>
      </c>
      <c r="B129">
        <f t="shared" si="19"/>
        <v>2020</v>
      </c>
      <c r="C129">
        <f t="shared" si="20"/>
        <v>4</v>
      </c>
      <c r="D129" s="109">
        <f t="shared" ca="1" si="21"/>
        <v>913363.22828018223</v>
      </c>
      <c r="G129" s="109"/>
    </row>
    <row r="130" spans="1:7" x14ac:dyDescent="0.2">
      <c r="A130" s="3">
        <v>43952</v>
      </c>
      <c r="B130">
        <f t="shared" si="19"/>
        <v>2020</v>
      </c>
      <c r="C130">
        <f t="shared" si="20"/>
        <v>5</v>
      </c>
      <c r="D130" s="109">
        <f t="shared" ca="1" si="21"/>
        <v>911850.33591707447</v>
      </c>
      <c r="G130" s="109"/>
    </row>
    <row r="131" spans="1:7" x14ac:dyDescent="0.2">
      <c r="A131" s="3">
        <v>43983</v>
      </c>
      <c r="B131">
        <f t="shared" si="19"/>
        <v>2020</v>
      </c>
      <c r="C131">
        <f t="shared" si="20"/>
        <v>6</v>
      </c>
      <c r="D131" s="109">
        <f t="shared" ca="1" si="21"/>
        <v>910337.4435539667</v>
      </c>
      <c r="G131" s="109"/>
    </row>
    <row r="132" spans="1:7" x14ac:dyDescent="0.2">
      <c r="A132" s="3">
        <v>44013</v>
      </c>
      <c r="B132">
        <f t="shared" si="19"/>
        <v>2020</v>
      </c>
      <c r="C132">
        <f t="shared" si="20"/>
        <v>7</v>
      </c>
      <c r="D132" s="109">
        <f t="shared" ca="1" si="21"/>
        <v>908824.55119085894</v>
      </c>
      <c r="G132" s="109"/>
    </row>
    <row r="133" spans="1:7" x14ac:dyDescent="0.2">
      <c r="A133" s="3">
        <v>44044</v>
      </c>
      <c r="B133">
        <f t="shared" si="19"/>
        <v>2020</v>
      </c>
      <c r="C133">
        <f t="shared" si="20"/>
        <v>8</v>
      </c>
      <c r="D133" s="109">
        <f t="shared" ca="1" si="21"/>
        <v>907311.65882775106</v>
      </c>
      <c r="G133" s="109"/>
    </row>
    <row r="134" spans="1:7" x14ac:dyDescent="0.2">
      <c r="A134" s="3">
        <v>44075</v>
      </c>
      <c r="B134">
        <f t="shared" si="19"/>
        <v>2020</v>
      </c>
      <c r="C134">
        <f t="shared" si="20"/>
        <v>9</v>
      </c>
      <c r="D134" s="109">
        <f t="shared" ca="1" si="21"/>
        <v>905798.7664646433</v>
      </c>
      <c r="G134" s="109"/>
    </row>
    <row r="135" spans="1:7" x14ac:dyDescent="0.2">
      <c r="A135" s="3">
        <v>44105</v>
      </c>
      <c r="B135">
        <f t="shared" si="19"/>
        <v>2020</v>
      </c>
      <c r="C135">
        <f t="shared" si="20"/>
        <v>10</v>
      </c>
      <c r="D135" s="109">
        <f t="shared" ca="1" si="21"/>
        <v>904285.87410153553</v>
      </c>
      <c r="G135" s="109"/>
    </row>
    <row r="136" spans="1:7" x14ac:dyDescent="0.2">
      <c r="A136" s="3">
        <v>44136</v>
      </c>
      <c r="B136">
        <f t="shared" si="19"/>
        <v>2020</v>
      </c>
      <c r="C136">
        <f t="shared" si="20"/>
        <v>11</v>
      </c>
      <c r="D136" s="109">
        <f t="shared" ca="1" si="21"/>
        <v>902772.98173842777</v>
      </c>
      <c r="G136" s="109"/>
    </row>
    <row r="137" spans="1:7" x14ac:dyDescent="0.2">
      <c r="A137" s="3">
        <v>44166</v>
      </c>
      <c r="B137">
        <f t="shared" si="19"/>
        <v>2020</v>
      </c>
      <c r="C137">
        <f t="shared" si="20"/>
        <v>12</v>
      </c>
      <c r="D137" s="109">
        <f t="shared" ca="1" si="21"/>
        <v>901260.08937532001</v>
      </c>
      <c r="G137" s="109"/>
    </row>
    <row r="138" spans="1:7" x14ac:dyDescent="0.2">
      <c r="A138" s="3">
        <v>44197</v>
      </c>
      <c r="B138">
        <f t="shared" si="19"/>
        <v>2021</v>
      </c>
      <c r="C138">
        <f t="shared" si="20"/>
        <v>1</v>
      </c>
      <c r="D138" s="109">
        <f t="shared" ca="1" si="21"/>
        <v>907929.04130623909</v>
      </c>
      <c r="G138" s="109"/>
    </row>
    <row r="139" spans="1:7" x14ac:dyDescent="0.2">
      <c r="A139" s="3">
        <v>44228</v>
      </c>
      <c r="B139">
        <f t="shared" si="19"/>
        <v>2021</v>
      </c>
      <c r="C139">
        <f t="shared" si="20"/>
        <v>2</v>
      </c>
      <c r="D139" s="109">
        <f t="shared" ca="1" si="21"/>
        <v>906277.08524006547</v>
      </c>
      <c r="G139" s="109"/>
    </row>
    <row r="140" spans="1:7" x14ac:dyDescent="0.2">
      <c r="A140" s="3">
        <v>44257</v>
      </c>
      <c r="B140">
        <f t="shared" si="19"/>
        <v>2021</v>
      </c>
      <c r="C140">
        <f t="shared" si="20"/>
        <v>3</v>
      </c>
      <c r="D140" s="109">
        <f t="shared" ca="1" si="21"/>
        <v>904625.12917389174</v>
      </c>
      <c r="G140" s="109"/>
    </row>
    <row r="141" spans="1:7" x14ac:dyDescent="0.2">
      <c r="A141" s="3">
        <v>44288</v>
      </c>
      <c r="B141">
        <f t="shared" si="19"/>
        <v>2021</v>
      </c>
      <c r="C141">
        <f t="shared" si="20"/>
        <v>4</v>
      </c>
      <c r="D141" s="109">
        <f t="shared" ca="1" si="21"/>
        <v>902973.17310771812</v>
      </c>
      <c r="G141" s="109"/>
    </row>
    <row r="142" spans="1:7" x14ac:dyDescent="0.2">
      <c r="A142" s="3">
        <v>44318</v>
      </c>
      <c r="B142">
        <f t="shared" si="19"/>
        <v>2021</v>
      </c>
      <c r="C142">
        <f t="shared" si="20"/>
        <v>5</v>
      </c>
      <c r="D142" s="109">
        <f t="shared" ca="1" si="21"/>
        <v>901321.2170415445</v>
      </c>
      <c r="G142" s="109"/>
    </row>
    <row r="143" spans="1:7" x14ac:dyDescent="0.2">
      <c r="A143" s="3">
        <v>44349</v>
      </c>
      <c r="B143">
        <f t="shared" si="19"/>
        <v>2021</v>
      </c>
      <c r="C143">
        <f t="shared" si="20"/>
        <v>6</v>
      </c>
      <c r="D143" s="109">
        <f t="shared" ca="1" si="21"/>
        <v>899669.26097537088</v>
      </c>
      <c r="G143" s="109"/>
    </row>
    <row r="144" spans="1:7" x14ac:dyDescent="0.2">
      <c r="A144" s="3">
        <v>44379</v>
      </c>
      <c r="B144">
        <f t="shared" si="19"/>
        <v>2021</v>
      </c>
      <c r="C144">
        <f t="shared" si="20"/>
        <v>7</v>
      </c>
      <c r="D144" s="109">
        <f t="shared" ca="1" si="21"/>
        <v>898017.30490919715</v>
      </c>
      <c r="G144" s="109"/>
    </row>
    <row r="145" spans="1:7" x14ac:dyDescent="0.2">
      <c r="A145" s="3">
        <v>44410</v>
      </c>
      <c r="B145">
        <f t="shared" si="19"/>
        <v>2021</v>
      </c>
      <c r="C145">
        <f t="shared" si="20"/>
        <v>8</v>
      </c>
      <c r="D145" s="109">
        <f t="shared" ca="1" si="21"/>
        <v>896365.34884302353</v>
      </c>
      <c r="G145" s="109"/>
    </row>
    <row r="146" spans="1:7" x14ac:dyDescent="0.2">
      <c r="A146" s="3">
        <v>44441</v>
      </c>
      <c r="B146">
        <f t="shared" si="19"/>
        <v>2021</v>
      </c>
      <c r="C146">
        <f t="shared" ref="C146:C161" si="22">MONTH(A146)</f>
        <v>9</v>
      </c>
      <c r="D146" s="109">
        <f t="shared" ref="D146:D161" ca="1" si="23">VLOOKUP(B146,$A$4:$C$15,3,FALSE)/12+VLOOKUP(B146,$A$4:$G$15,7,FALSE)*C146</f>
        <v>894713.39277684991</v>
      </c>
      <c r="G146" s="109"/>
    </row>
    <row r="147" spans="1:7" x14ac:dyDescent="0.2">
      <c r="A147" s="3">
        <v>44471</v>
      </c>
      <c r="B147">
        <f t="shared" ref="B147:B161" si="24">YEAR(A147)</f>
        <v>2021</v>
      </c>
      <c r="C147">
        <f t="shared" si="22"/>
        <v>10</v>
      </c>
      <c r="D147" s="109">
        <f t="shared" ca="1" si="23"/>
        <v>893061.43671067629</v>
      </c>
      <c r="G147" s="109"/>
    </row>
    <row r="148" spans="1:7" x14ac:dyDescent="0.2">
      <c r="A148" s="3">
        <v>44502</v>
      </c>
      <c r="B148">
        <f t="shared" si="24"/>
        <v>2021</v>
      </c>
      <c r="C148">
        <f t="shared" si="22"/>
        <v>11</v>
      </c>
      <c r="D148" s="109">
        <f t="shared" ca="1" si="23"/>
        <v>891409.48064450256</v>
      </c>
      <c r="G148" s="109"/>
    </row>
    <row r="149" spans="1:7" x14ac:dyDescent="0.2">
      <c r="A149" s="3">
        <v>44532</v>
      </c>
      <c r="B149">
        <f t="shared" si="24"/>
        <v>2021</v>
      </c>
      <c r="C149">
        <f t="shared" si="22"/>
        <v>12</v>
      </c>
      <c r="D149" s="109">
        <f t="shared" ca="1" si="23"/>
        <v>889757.52457832894</v>
      </c>
      <c r="G149" s="109"/>
    </row>
    <row r="150" spans="1:7" x14ac:dyDescent="0.2">
      <c r="A150" s="3">
        <v>44563</v>
      </c>
      <c r="B150">
        <f t="shared" si="24"/>
        <v>2022</v>
      </c>
      <c r="C150">
        <f t="shared" si="22"/>
        <v>1</v>
      </c>
      <c r="D150" s="109">
        <f t="shared" ca="1" si="23"/>
        <v>896633.71830546774</v>
      </c>
      <c r="G150" s="109"/>
    </row>
    <row r="151" spans="1:7" x14ac:dyDescent="0.2">
      <c r="A151" s="3">
        <v>44594</v>
      </c>
      <c r="B151">
        <f t="shared" si="24"/>
        <v>2022</v>
      </c>
      <c r="C151">
        <f t="shared" si="22"/>
        <v>2</v>
      </c>
      <c r="D151" s="109">
        <f t="shared" ca="1" si="23"/>
        <v>894424.15366865147</v>
      </c>
      <c r="G151" s="109"/>
    </row>
    <row r="152" spans="1:7" x14ac:dyDescent="0.2">
      <c r="A152" s="3">
        <v>44623</v>
      </c>
      <c r="B152">
        <f t="shared" si="24"/>
        <v>2022</v>
      </c>
      <c r="C152">
        <f t="shared" si="22"/>
        <v>3</v>
      </c>
      <c r="D152" s="109">
        <f t="shared" ca="1" si="23"/>
        <v>892214.58903183509</v>
      </c>
      <c r="G152" s="109"/>
    </row>
    <row r="153" spans="1:7" x14ac:dyDescent="0.2">
      <c r="A153" s="3">
        <v>44654</v>
      </c>
      <c r="B153">
        <f t="shared" si="24"/>
        <v>2022</v>
      </c>
      <c r="C153">
        <f t="shared" si="22"/>
        <v>4</v>
      </c>
      <c r="D153" s="109">
        <f t="shared" ca="1" si="23"/>
        <v>890005.02439501882</v>
      </c>
      <c r="G153" s="109"/>
    </row>
    <row r="154" spans="1:7" x14ac:dyDescent="0.2">
      <c r="A154" s="3">
        <v>44684</v>
      </c>
      <c r="B154">
        <f t="shared" si="24"/>
        <v>2022</v>
      </c>
      <c r="C154">
        <f t="shared" si="22"/>
        <v>5</v>
      </c>
      <c r="D154" s="109">
        <f t="shared" ca="1" si="23"/>
        <v>887795.45975820255</v>
      </c>
      <c r="G154" s="109"/>
    </row>
    <row r="155" spans="1:7" x14ac:dyDescent="0.2">
      <c r="A155" s="3">
        <v>44715</v>
      </c>
      <c r="B155">
        <f t="shared" si="24"/>
        <v>2022</v>
      </c>
      <c r="C155">
        <f t="shared" si="22"/>
        <v>6</v>
      </c>
      <c r="D155" s="109">
        <f t="shared" ca="1" si="23"/>
        <v>885585.89512138627</v>
      </c>
      <c r="G155" s="109"/>
    </row>
    <row r="156" spans="1:7" x14ac:dyDescent="0.2">
      <c r="A156" s="3">
        <v>44745</v>
      </c>
      <c r="B156">
        <f t="shared" si="24"/>
        <v>2022</v>
      </c>
      <c r="C156">
        <f t="shared" si="22"/>
        <v>7</v>
      </c>
      <c r="D156" s="109">
        <f t="shared" ca="1" si="23"/>
        <v>883376.33048457</v>
      </c>
      <c r="G156" s="109"/>
    </row>
    <row r="157" spans="1:7" x14ac:dyDescent="0.2">
      <c r="A157" s="3">
        <v>44776</v>
      </c>
      <c r="B157">
        <f t="shared" si="24"/>
        <v>2022</v>
      </c>
      <c r="C157">
        <f t="shared" si="22"/>
        <v>8</v>
      </c>
      <c r="D157" s="109">
        <f t="shared" ca="1" si="23"/>
        <v>881166.76584775362</v>
      </c>
      <c r="G157" s="109"/>
    </row>
    <row r="158" spans="1:7" x14ac:dyDescent="0.2">
      <c r="A158" s="3">
        <v>44807</v>
      </c>
      <c r="B158">
        <f t="shared" si="24"/>
        <v>2022</v>
      </c>
      <c r="C158">
        <f t="shared" si="22"/>
        <v>9</v>
      </c>
      <c r="D158" s="109">
        <f t="shared" ca="1" si="23"/>
        <v>878957.20121093735</v>
      </c>
      <c r="G158" s="109"/>
    </row>
    <row r="159" spans="1:7" x14ac:dyDescent="0.2">
      <c r="A159" s="3">
        <v>44837</v>
      </c>
      <c r="B159">
        <f t="shared" si="24"/>
        <v>2022</v>
      </c>
      <c r="C159">
        <f t="shared" si="22"/>
        <v>10</v>
      </c>
      <c r="D159" s="109">
        <f t="shared" ca="1" si="23"/>
        <v>876747.63657412108</v>
      </c>
      <c r="G159" s="109"/>
    </row>
    <row r="160" spans="1:7" x14ac:dyDescent="0.2">
      <c r="A160" s="3">
        <v>44868</v>
      </c>
      <c r="B160">
        <f t="shared" si="24"/>
        <v>2022</v>
      </c>
      <c r="C160">
        <f t="shared" si="22"/>
        <v>11</v>
      </c>
      <c r="D160" s="109">
        <f t="shared" ca="1" si="23"/>
        <v>874538.07193730481</v>
      </c>
      <c r="G160" s="109"/>
    </row>
    <row r="161" spans="1:7" x14ac:dyDescent="0.2">
      <c r="A161" s="3">
        <v>44898</v>
      </c>
      <c r="B161">
        <f t="shared" si="24"/>
        <v>2022</v>
      </c>
      <c r="C161">
        <f t="shared" si="22"/>
        <v>12</v>
      </c>
      <c r="D161" s="109">
        <f t="shared" ca="1" si="23"/>
        <v>872328.50730048842</v>
      </c>
      <c r="G161" s="109"/>
    </row>
    <row r="162" spans="1:7" x14ac:dyDescent="0.2">
      <c r="A162" s="3"/>
    </row>
    <row r="163" spans="1:7" x14ac:dyDescent="0.2">
      <c r="A163" s="3"/>
    </row>
    <row r="164" spans="1:7" x14ac:dyDescent="0.2">
      <c r="A164" s="3"/>
    </row>
    <row r="165" spans="1:7" x14ac:dyDescent="0.2">
      <c r="A165" s="3"/>
    </row>
    <row r="166" spans="1:7" x14ac:dyDescent="0.2">
      <c r="A166" s="3"/>
    </row>
    <row r="167" spans="1:7" x14ac:dyDescent="0.2">
      <c r="A167" s="3"/>
    </row>
    <row r="168" spans="1:7" x14ac:dyDescent="0.2">
      <c r="A168" s="3"/>
    </row>
    <row r="169" spans="1:7" x14ac:dyDescent="0.2">
      <c r="A169" s="3"/>
    </row>
    <row r="170" spans="1:7" x14ac:dyDescent="0.2">
      <c r="A170" s="3"/>
    </row>
    <row r="171" spans="1:7" x14ac:dyDescent="0.2">
      <c r="A171" s="3"/>
    </row>
    <row r="172" spans="1:7" x14ac:dyDescent="0.2">
      <c r="A172" s="3"/>
    </row>
    <row r="173" spans="1:7" x14ac:dyDescent="0.2">
      <c r="A173" s="3"/>
    </row>
    <row r="174" spans="1:7" x14ac:dyDescent="0.2">
      <c r="A174" s="3"/>
    </row>
    <row r="175" spans="1:7" x14ac:dyDescent="0.2">
      <c r="A175" s="3"/>
    </row>
    <row r="176" spans="1:7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186A-DA54-43AD-91F1-0BC3F029B59D}">
  <sheetPr codeName="Sheet17">
    <tabColor theme="0" tint="-4.9989318521683403E-2"/>
  </sheetPr>
  <dimension ref="A1:DN265"/>
  <sheetViews>
    <sheetView workbookViewId="0">
      <pane xSplit="1" ySplit="1" topLeftCell="Y44" activePane="bottomRight" state="frozen"/>
      <selection activeCell="Y368" sqref="Y368"/>
      <selection pane="topRight" activeCell="Y368" sqref="Y368"/>
      <selection pane="bottomLeft" activeCell="Y368" sqref="Y368"/>
      <selection pane="bottomRight" activeCell="AW23" sqref="AW23"/>
    </sheetView>
  </sheetViews>
  <sheetFormatPr defaultRowHeight="12.75" x14ac:dyDescent="0.2"/>
  <cols>
    <col min="1" max="1" width="9.140625" style="127"/>
    <col min="2" max="2" width="10" style="127" bestFit="1" customWidth="1"/>
    <col min="3" max="4" width="9.7109375" style="127" customWidth="1"/>
    <col min="5" max="17" width="9.140625" style="127"/>
    <col min="18" max="18" width="16.7109375" style="127" customWidth="1"/>
    <col min="19" max="19" width="12" style="127" bestFit="1" customWidth="1"/>
    <col min="20" max="20" width="17.42578125" style="127" customWidth="1"/>
    <col min="21" max="21" width="12.7109375" style="129" bestFit="1" customWidth="1"/>
    <col min="22" max="22" width="13.7109375" style="129" customWidth="1"/>
    <col min="23" max="23" width="10.42578125" style="129" customWidth="1"/>
    <col min="24" max="24" width="9.85546875" style="127" customWidth="1"/>
    <col min="25" max="32" width="7.42578125" style="127" customWidth="1"/>
    <col min="33" max="33" width="7.140625" style="127" customWidth="1"/>
    <col min="34" max="34" width="7.42578125" style="127" customWidth="1"/>
    <col min="35" max="35" width="9.42578125" style="127" customWidth="1"/>
    <col min="36" max="48" width="9.140625" style="127"/>
    <col min="49" max="49" width="9.85546875" style="145" bestFit="1" customWidth="1"/>
    <col min="50" max="16384" width="9.140625" style="127"/>
  </cols>
  <sheetData>
    <row r="1" spans="1:118" x14ac:dyDescent="0.2">
      <c r="A1" s="127" t="s">
        <v>75</v>
      </c>
      <c r="B1" s="127" t="s">
        <v>40</v>
      </c>
      <c r="C1" s="127" t="s">
        <v>88</v>
      </c>
      <c r="D1" s="127" t="s">
        <v>89</v>
      </c>
      <c r="E1" s="127" t="s">
        <v>90</v>
      </c>
      <c r="F1" s="127" t="s">
        <v>91</v>
      </c>
      <c r="G1" s="127" t="s">
        <v>92</v>
      </c>
      <c r="H1" s="127" t="s">
        <v>93</v>
      </c>
      <c r="I1" s="127" t="s">
        <v>94</v>
      </c>
      <c r="J1" s="127" t="s">
        <v>95</v>
      </c>
      <c r="K1" s="127" t="s">
        <v>96</v>
      </c>
      <c r="L1" s="127" t="s">
        <v>97</v>
      </c>
      <c r="M1" s="127" t="s">
        <v>98</v>
      </c>
      <c r="N1" s="127" t="s">
        <v>99</v>
      </c>
      <c r="O1" s="127" t="s">
        <v>100</v>
      </c>
      <c r="P1" s="127" t="s">
        <v>101</v>
      </c>
      <c r="Q1" s="127" t="s">
        <v>102</v>
      </c>
      <c r="R1" s="128" t="str">
        <f>Purchases!D1</f>
        <v>Purchased</v>
      </c>
      <c r="S1" s="128" t="str">
        <f>Data!G1</f>
        <v>PurchasesCDM</v>
      </c>
    </row>
    <row r="2" spans="1:118" x14ac:dyDescent="0.2">
      <c r="A2" s="127">
        <v>2001</v>
      </c>
      <c r="B2" s="130">
        <v>1</v>
      </c>
      <c r="C2" s="130">
        <v>-3.2129032258064525</v>
      </c>
      <c r="D2" s="131">
        <v>719.6</v>
      </c>
      <c r="E2" s="131">
        <v>0</v>
      </c>
      <c r="F2" s="131">
        <v>657.6</v>
      </c>
      <c r="G2" s="131">
        <v>0</v>
      </c>
      <c r="H2" s="131">
        <v>595.60000000000014</v>
      </c>
      <c r="I2" s="131">
        <v>0</v>
      </c>
      <c r="J2" s="131">
        <v>533.6</v>
      </c>
      <c r="K2" s="131">
        <v>0</v>
      </c>
      <c r="L2" s="131">
        <v>471.59999999999997</v>
      </c>
      <c r="M2" s="131">
        <v>0</v>
      </c>
      <c r="N2" s="131">
        <v>409.59999999999997</v>
      </c>
      <c r="O2" s="131">
        <v>0</v>
      </c>
      <c r="P2" s="131">
        <v>347.59999999999997</v>
      </c>
      <c r="Q2" s="131">
        <v>0</v>
      </c>
      <c r="R2" s="131"/>
      <c r="S2" s="131"/>
      <c r="T2" s="131"/>
    </row>
    <row r="3" spans="1:118" x14ac:dyDescent="0.2">
      <c r="A3" s="127">
        <v>2001</v>
      </c>
      <c r="B3" s="130">
        <v>2</v>
      </c>
      <c r="C3" s="130">
        <v>-1.4392857142857143</v>
      </c>
      <c r="D3" s="131">
        <v>600.29999999999995</v>
      </c>
      <c r="E3" s="131">
        <v>0</v>
      </c>
      <c r="F3" s="131">
        <v>544.30000000000007</v>
      </c>
      <c r="G3" s="131">
        <v>0</v>
      </c>
      <c r="H3" s="131">
        <v>488.3</v>
      </c>
      <c r="I3" s="131">
        <v>0</v>
      </c>
      <c r="J3" s="131">
        <v>432.3</v>
      </c>
      <c r="K3" s="131">
        <v>0</v>
      </c>
      <c r="L3" s="131">
        <v>376.30000000000007</v>
      </c>
      <c r="M3" s="131">
        <v>0</v>
      </c>
      <c r="N3" s="131">
        <v>320.30000000000007</v>
      </c>
      <c r="O3" s="131">
        <v>0</v>
      </c>
      <c r="P3" s="131">
        <v>264.30000000000007</v>
      </c>
      <c r="Q3" s="131">
        <v>0</v>
      </c>
      <c r="R3" s="131"/>
      <c r="S3" s="131"/>
      <c r="T3" s="131"/>
    </row>
    <row r="4" spans="1:118" x14ac:dyDescent="0.2">
      <c r="A4" s="127">
        <v>2001</v>
      </c>
      <c r="B4" s="130">
        <v>3</v>
      </c>
      <c r="C4" s="130">
        <v>1.2612903225806453</v>
      </c>
      <c r="D4" s="131">
        <v>580.89999999999986</v>
      </c>
      <c r="E4" s="131">
        <v>0</v>
      </c>
      <c r="F4" s="131">
        <v>518.89999999999986</v>
      </c>
      <c r="G4" s="131">
        <v>0</v>
      </c>
      <c r="H4" s="131">
        <v>456.9</v>
      </c>
      <c r="I4" s="131">
        <v>0</v>
      </c>
      <c r="J4" s="131">
        <v>394.89999999999992</v>
      </c>
      <c r="K4" s="131">
        <v>0</v>
      </c>
      <c r="L4" s="131">
        <v>332.9</v>
      </c>
      <c r="M4" s="131">
        <v>0</v>
      </c>
      <c r="N4" s="131">
        <v>270.90000000000003</v>
      </c>
      <c r="O4" s="131">
        <v>0</v>
      </c>
      <c r="P4" s="131">
        <v>208.9</v>
      </c>
      <c r="Q4" s="131">
        <v>0</v>
      </c>
      <c r="R4" s="131"/>
      <c r="S4" s="131"/>
      <c r="T4" s="131"/>
      <c r="V4" s="132" t="str">
        <f>D1</f>
        <v>HDD20</v>
      </c>
      <c r="W4" s="133" t="s">
        <v>55</v>
      </c>
      <c r="X4" s="133" t="s">
        <v>56</v>
      </c>
      <c r="Y4" s="133" t="s">
        <v>57</v>
      </c>
      <c r="Z4" s="133" t="s">
        <v>58</v>
      </c>
      <c r="AA4" s="133" t="s">
        <v>46</v>
      </c>
      <c r="AB4" s="133" t="s">
        <v>47</v>
      </c>
      <c r="AC4" s="133" t="s">
        <v>48</v>
      </c>
      <c r="AD4" s="134" t="s">
        <v>49</v>
      </c>
      <c r="AE4" s="134" t="s">
        <v>104</v>
      </c>
      <c r="AF4" s="134" t="s">
        <v>63</v>
      </c>
      <c r="AG4" s="134" t="s">
        <v>64</v>
      </c>
      <c r="AH4" s="134" t="s">
        <v>65</v>
      </c>
      <c r="AJ4" s="132" t="str">
        <f>F1</f>
        <v>HDD18</v>
      </c>
      <c r="AK4" s="133" t="s">
        <v>55</v>
      </c>
      <c r="AL4" s="133" t="s">
        <v>56</v>
      </c>
      <c r="AM4" s="133" t="s">
        <v>57</v>
      </c>
      <c r="AN4" s="133" t="s">
        <v>58</v>
      </c>
      <c r="AO4" s="133" t="s">
        <v>46</v>
      </c>
      <c r="AP4" s="133" t="s">
        <v>47</v>
      </c>
      <c r="AQ4" s="133" t="s">
        <v>48</v>
      </c>
      <c r="AR4" s="134" t="s">
        <v>49</v>
      </c>
      <c r="AS4" s="134" t="s">
        <v>104</v>
      </c>
      <c r="AT4" s="134" t="s">
        <v>63</v>
      </c>
      <c r="AU4" s="134" t="s">
        <v>64</v>
      </c>
      <c r="AV4" s="134" t="s">
        <v>65</v>
      </c>
      <c r="AX4" s="132" t="str">
        <f>H1</f>
        <v>HDD16</v>
      </c>
      <c r="AY4" s="133" t="s">
        <v>55</v>
      </c>
      <c r="AZ4" s="133" t="s">
        <v>56</v>
      </c>
      <c r="BA4" s="133" t="s">
        <v>57</v>
      </c>
      <c r="BB4" s="133" t="s">
        <v>58</v>
      </c>
      <c r="BC4" s="133" t="s">
        <v>46</v>
      </c>
      <c r="BD4" s="133" t="s">
        <v>47</v>
      </c>
      <c r="BE4" s="133" t="s">
        <v>48</v>
      </c>
      <c r="BF4" s="134" t="s">
        <v>49</v>
      </c>
      <c r="BG4" s="134" t="s">
        <v>104</v>
      </c>
      <c r="BH4" s="134" t="s">
        <v>63</v>
      </c>
      <c r="BI4" s="134" t="s">
        <v>64</v>
      </c>
      <c r="BJ4" s="134" t="s">
        <v>65</v>
      </c>
      <c r="BL4" s="132" t="str">
        <f>J1</f>
        <v>HDD14</v>
      </c>
      <c r="BM4" s="133" t="s">
        <v>55</v>
      </c>
      <c r="BN4" s="133" t="s">
        <v>56</v>
      </c>
      <c r="BO4" s="133" t="s">
        <v>57</v>
      </c>
      <c r="BP4" s="133" t="s">
        <v>58</v>
      </c>
      <c r="BQ4" s="133" t="s">
        <v>46</v>
      </c>
      <c r="BR4" s="133" t="s">
        <v>47</v>
      </c>
      <c r="BS4" s="133" t="s">
        <v>48</v>
      </c>
      <c r="BT4" s="134" t="s">
        <v>49</v>
      </c>
      <c r="BU4" s="134" t="s">
        <v>104</v>
      </c>
      <c r="BV4" s="134" t="s">
        <v>63</v>
      </c>
      <c r="BW4" s="134" t="s">
        <v>64</v>
      </c>
      <c r="BX4" s="134" t="s">
        <v>65</v>
      </c>
      <c r="BZ4" s="132" t="str">
        <f>L1</f>
        <v>HDD12</v>
      </c>
      <c r="CA4" s="133" t="s">
        <v>55</v>
      </c>
      <c r="CB4" s="133" t="s">
        <v>56</v>
      </c>
      <c r="CC4" s="133" t="s">
        <v>57</v>
      </c>
      <c r="CD4" s="133" t="s">
        <v>58</v>
      </c>
      <c r="CE4" s="133" t="s">
        <v>46</v>
      </c>
      <c r="CF4" s="133" t="s">
        <v>47</v>
      </c>
      <c r="CG4" s="133" t="s">
        <v>48</v>
      </c>
      <c r="CH4" s="134" t="s">
        <v>49</v>
      </c>
      <c r="CI4" s="134" t="s">
        <v>104</v>
      </c>
      <c r="CJ4" s="134" t="s">
        <v>63</v>
      </c>
      <c r="CK4" s="134" t="s">
        <v>64</v>
      </c>
      <c r="CL4" s="134" t="s">
        <v>65</v>
      </c>
      <c r="CN4" s="132" t="str">
        <f>N1</f>
        <v>HDD10</v>
      </c>
      <c r="CO4" s="133" t="s">
        <v>55</v>
      </c>
      <c r="CP4" s="133" t="s">
        <v>56</v>
      </c>
      <c r="CQ4" s="133" t="s">
        <v>57</v>
      </c>
      <c r="CR4" s="133" t="s">
        <v>58</v>
      </c>
      <c r="CS4" s="133" t="s">
        <v>46</v>
      </c>
      <c r="CT4" s="133" t="s">
        <v>47</v>
      </c>
      <c r="CU4" s="133" t="s">
        <v>48</v>
      </c>
      <c r="CV4" s="134" t="s">
        <v>49</v>
      </c>
      <c r="CW4" s="134" t="s">
        <v>104</v>
      </c>
      <c r="CX4" s="134" t="s">
        <v>63</v>
      </c>
      <c r="CY4" s="134" t="s">
        <v>64</v>
      </c>
      <c r="CZ4" s="134" t="s">
        <v>65</v>
      </c>
      <c r="DB4" s="132" t="str">
        <f>P1</f>
        <v>HDD8</v>
      </c>
      <c r="DC4" s="133" t="s">
        <v>55</v>
      </c>
      <c r="DD4" s="133" t="s">
        <v>56</v>
      </c>
      <c r="DE4" s="133" t="s">
        <v>57</v>
      </c>
      <c r="DF4" s="133" t="s">
        <v>58</v>
      </c>
      <c r="DG4" s="133" t="s">
        <v>46</v>
      </c>
      <c r="DH4" s="133" t="s">
        <v>47</v>
      </c>
      <c r="DI4" s="133" t="s">
        <v>48</v>
      </c>
      <c r="DJ4" s="134" t="s">
        <v>49</v>
      </c>
      <c r="DK4" s="134" t="s">
        <v>104</v>
      </c>
      <c r="DL4" s="134" t="s">
        <v>63</v>
      </c>
      <c r="DM4" s="134" t="s">
        <v>64</v>
      </c>
      <c r="DN4" s="134" t="s">
        <v>65</v>
      </c>
    </row>
    <row r="5" spans="1:118" x14ac:dyDescent="0.2">
      <c r="A5" s="127">
        <v>2001</v>
      </c>
      <c r="B5" s="130">
        <v>4</v>
      </c>
      <c r="C5" s="130">
        <v>9.836666666666666</v>
      </c>
      <c r="D5" s="131">
        <v>304.90000000000003</v>
      </c>
      <c r="E5" s="131">
        <v>0</v>
      </c>
      <c r="F5" s="131">
        <v>245.30000000000004</v>
      </c>
      <c r="G5" s="131">
        <v>0.39999999999999858</v>
      </c>
      <c r="H5" s="131">
        <v>190.90000000000003</v>
      </c>
      <c r="I5" s="131">
        <v>6</v>
      </c>
      <c r="J5" s="131">
        <v>141.60000000000002</v>
      </c>
      <c r="K5" s="131">
        <v>16.7</v>
      </c>
      <c r="L5" s="131">
        <v>96.700000000000031</v>
      </c>
      <c r="M5" s="131">
        <v>31.8</v>
      </c>
      <c r="N5" s="131">
        <v>58.3</v>
      </c>
      <c r="O5" s="131">
        <v>53.400000000000006</v>
      </c>
      <c r="P5" s="131">
        <v>28.4</v>
      </c>
      <c r="Q5" s="131">
        <v>83.500000000000014</v>
      </c>
      <c r="R5" s="131"/>
      <c r="S5" s="131"/>
      <c r="T5" s="131"/>
      <c r="V5" s="127">
        <v>2001</v>
      </c>
      <c r="W5" s="127">
        <f t="shared" ref="W5:W24" ca="1" si="0">OFFSET($D$2,(ROW()-5)*12+COLUMN()-23,0)</f>
        <v>719.6</v>
      </c>
      <c r="X5" s="127">
        <f t="shared" ref="X5:AH20" ca="1" si="1">OFFSET($D$2,(ROW()-5)*12+COLUMN()-23,0)</f>
        <v>600.29999999999995</v>
      </c>
      <c r="Y5" s="127">
        <f t="shared" ca="1" si="1"/>
        <v>580.89999999999986</v>
      </c>
      <c r="Z5" s="127">
        <f t="shared" ca="1" si="1"/>
        <v>304.90000000000003</v>
      </c>
      <c r="AA5" s="127">
        <f t="shared" ca="1" si="1"/>
        <v>130.29999999999998</v>
      </c>
      <c r="AB5" s="127">
        <f t="shared" ca="1" si="1"/>
        <v>45.400000000000006</v>
      </c>
      <c r="AC5" s="127">
        <f t="shared" ca="1" si="1"/>
        <v>9.3999999999999986</v>
      </c>
      <c r="AD5" s="127">
        <f t="shared" ca="1" si="1"/>
        <v>0</v>
      </c>
      <c r="AE5" s="127">
        <f t="shared" ca="1" si="1"/>
        <v>111.39999999999999</v>
      </c>
      <c r="AF5" s="127">
        <f t="shared" ca="1" si="1"/>
        <v>262.70000000000005</v>
      </c>
      <c r="AG5" s="127">
        <f t="shared" ca="1" si="1"/>
        <v>339.89999999999986</v>
      </c>
      <c r="AH5" s="127">
        <f t="shared" ca="1" si="1"/>
        <v>553.6</v>
      </c>
      <c r="AJ5" s="127">
        <v>2001</v>
      </c>
      <c r="AK5" s="127">
        <f t="shared" ref="AK5:AV14" ca="1" si="2">OFFSET($F$2,(ROW()-5)*12+COLUMN()-37,0)</f>
        <v>657.6</v>
      </c>
      <c r="AL5" s="127">
        <f t="shared" ca="1" si="2"/>
        <v>544.30000000000007</v>
      </c>
      <c r="AM5" s="127">
        <f t="shared" ca="1" si="2"/>
        <v>518.89999999999986</v>
      </c>
      <c r="AN5" s="127">
        <f t="shared" ca="1" si="2"/>
        <v>245.30000000000004</v>
      </c>
      <c r="AO5" s="127">
        <f t="shared" ca="1" si="2"/>
        <v>82.899999999999991</v>
      </c>
      <c r="AP5" s="127">
        <f t="shared" ca="1" si="2"/>
        <v>24.900000000000002</v>
      </c>
      <c r="AQ5" s="127">
        <f t="shared" ca="1" si="2"/>
        <v>3.1999999999999993</v>
      </c>
      <c r="AR5" s="127">
        <f t="shared" ca="1" si="2"/>
        <v>0</v>
      </c>
      <c r="AS5" s="127">
        <f t="shared" ca="1" si="2"/>
        <v>69.900000000000006</v>
      </c>
      <c r="AT5" s="127">
        <f t="shared" ca="1" si="2"/>
        <v>202.70000000000002</v>
      </c>
      <c r="AU5" s="127">
        <f t="shared" ca="1" si="2"/>
        <v>279.89999999999998</v>
      </c>
      <c r="AV5" s="127">
        <f t="shared" ca="1" si="2"/>
        <v>491.6</v>
      </c>
      <c r="AW5" s="147">
        <f ca="1">SUM(AK5:AV5)</f>
        <v>3121.2</v>
      </c>
      <c r="AX5" s="127">
        <v>2001</v>
      </c>
      <c r="AY5" s="127">
        <f t="shared" ref="AY5:BJ14" ca="1" si="3">OFFSET($H$2,(ROW()-5)*12+COLUMN()-51,0)</f>
        <v>595.60000000000014</v>
      </c>
      <c r="AZ5" s="127">
        <f t="shared" ca="1" si="3"/>
        <v>488.3</v>
      </c>
      <c r="BA5" s="127">
        <f t="shared" ca="1" si="3"/>
        <v>456.9</v>
      </c>
      <c r="BB5" s="127">
        <f t="shared" ca="1" si="3"/>
        <v>190.90000000000003</v>
      </c>
      <c r="BC5" s="127">
        <f t="shared" ca="1" si="3"/>
        <v>45.5</v>
      </c>
      <c r="BD5" s="127">
        <f t="shared" ca="1" si="3"/>
        <v>11.700000000000001</v>
      </c>
      <c r="BE5" s="127">
        <f t="shared" ca="1" si="3"/>
        <v>1.1999999999999993</v>
      </c>
      <c r="BF5" s="127">
        <f t="shared" ca="1" si="3"/>
        <v>0</v>
      </c>
      <c r="BG5" s="127">
        <f t="shared" ca="1" si="3"/>
        <v>39.299999999999997</v>
      </c>
      <c r="BH5" s="127">
        <f t="shared" ca="1" si="3"/>
        <v>147.19999999999999</v>
      </c>
      <c r="BI5" s="127">
        <f t="shared" ca="1" si="3"/>
        <v>219.89999999999998</v>
      </c>
      <c r="BJ5" s="127">
        <f t="shared" ca="1" si="3"/>
        <v>429.6</v>
      </c>
      <c r="BL5" s="127">
        <v>2001</v>
      </c>
      <c r="BM5" s="127">
        <f t="shared" ref="BM5:BX14" ca="1" si="4">OFFSET($J$2,(ROW()-5)*12+COLUMN()-65,0)</f>
        <v>533.6</v>
      </c>
      <c r="BN5" s="127">
        <f t="shared" ca="1" si="4"/>
        <v>432.3</v>
      </c>
      <c r="BO5" s="127">
        <f t="shared" ca="1" si="4"/>
        <v>394.89999999999992</v>
      </c>
      <c r="BP5" s="127">
        <f t="shared" ca="1" si="4"/>
        <v>141.60000000000002</v>
      </c>
      <c r="BQ5" s="127">
        <f t="shared" ca="1" si="4"/>
        <v>18.299999999999997</v>
      </c>
      <c r="BR5" s="127">
        <f t="shared" ca="1" si="4"/>
        <v>1.4000000000000004</v>
      </c>
      <c r="BS5" s="127">
        <f t="shared" ca="1" si="4"/>
        <v>0</v>
      </c>
      <c r="BT5" s="127">
        <f t="shared" ca="1" si="4"/>
        <v>0</v>
      </c>
      <c r="BU5" s="127">
        <f t="shared" ca="1" si="4"/>
        <v>19.100000000000001</v>
      </c>
      <c r="BV5" s="127">
        <f t="shared" ca="1" si="4"/>
        <v>102.6</v>
      </c>
      <c r="BW5" s="127">
        <f t="shared" ca="1" si="4"/>
        <v>160.49999999999997</v>
      </c>
      <c r="BX5" s="127">
        <f t="shared" ca="1" si="4"/>
        <v>368.3</v>
      </c>
      <c r="BZ5" s="127">
        <v>2001</v>
      </c>
      <c r="CA5" s="127">
        <f t="shared" ref="CA5:CL14" ca="1" si="5">OFFSET($L$2,(ROW()-5)*12+COLUMN()-79,0)</f>
        <v>471.59999999999997</v>
      </c>
      <c r="CB5" s="127">
        <f t="shared" ca="1" si="5"/>
        <v>376.30000000000007</v>
      </c>
      <c r="CC5" s="127">
        <f t="shared" ca="1" si="5"/>
        <v>332.9</v>
      </c>
      <c r="CD5" s="127">
        <f t="shared" ca="1" si="5"/>
        <v>96.700000000000031</v>
      </c>
      <c r="CE5" s="127">
        <f t="shared" ca="1" si="5"/>
        <v>2.8999999999999986</v>
      </c>
      <c r="CF5" s="127">
        <f t="shared" ca="1" si="5"/>
        <v>0</v>
      </c>
      <c r="CG5" s="127">
        <f t="shared" ca="1" si="5"/>
        <v>0</v>
      </c>
      <c r="CH5" s="127">
        <f t="shared" ca="1" si="5"/>
        <v>0</v>
      </c>
      <c r="CI5" s="127">
        <f t="shared" ca="1" si="5"/>
        <v>9.6999999999999993</v>
      </c>
      <c r="CJ5" s="127">
        <f t="shared" ca="1" si="5"/>
        <v>69.400000000000006</v>
      </c>
      <c r="CK5" s="127">
        <f t="shared" ca="1" si="5"/>
        <v>107.70000000000002</v>
      </c>
      <c r="CL5" s="127">
        <f t="shared" ca="1" si="5"/>
        <v>308.3</v>
      </c>
      <c r="CN5" s="127">
        <v>2001</v>
      </c>
      <c r="CO5" s="127">
        <f t="shared" ref="CO5:CZ14" ca="1" si="6">OFFSET($N$2,(ROW()-5)*12+COLUMN()-93,0)</f>
        <v>409.59999999999997</v>
      </c>
      <c r="CP5" s="127">
        <f t="shared" ca="1" si="6"/>
        <v>320.30000000000007</v>
      </c>
      <c r="CQ5" s="127">
        <f t="shared" ca="1" si="6"/>
        <v>270.90000000000003</v>
      </c>
      <c r="CR5" s="127">
        <f t="shared" ca="1" si="6"/>
        <v>58.3</v>
      </c>
      <c r="CS5" s="127">
        <f t="shared" ca="1" si="6"/>
        <v>0</v>
      </c>
      <c r="CT5" s="127">
        <f t="shared" ca="1" si="6"/>
        <v>0</v>
      </c>
      <c r="CU5" s="127">
        <f t="shared" ca="1" si="6"/>
        <v>0</v>
      </c>
      <c r="CV5" s="127">
        <f t="shared" ca="1" si="6"/>
        <v>0</v>
      </c>
      <c r="CW5" s="127">
        <f t="shared" ca="1" si="6"/>
        <v>5</v>
      </c>
      <c r="CX5" s="127">
        <f t="shared" ca="1" si="6"/>
        <v>43.3</v>
      </c>
      <c r="CY5" s="127">
        <f t="shared" ca="1" si="6"/>
        <v>61.400000000000006</v>
      </c>
      <c r="CZ5" s="127">
        <f t="shared" ca="1" si="6"/>
        <v>249.00000000000003</v>
      </c>
      <c r="DB5" s="127">
        <v>2001</v>
      </c>
      <c r="DC5" s="127">
        <f ca="1">OFFSET($P$2,(ROW()-5)*12+COLUMN()-107,0)</f>
        <v>347.59999999999997</v>
      </c>
      <c r="DD5" s="127">
        <f t="shared" ref="DD5:DN5" ca="1" si="7">OFFSET($P$2,(ROW()-5)*12+COLUMN()-107,0)</f>
        <v>264.30000000000007</v>
      </c>
      <c r="DE5" s="127">
        <f t="shared" ca="1" si="7"/>
        <v>208.9</v>
      </c>
      <c r="DF5" s="127">
        <f t="shared" ca="1" si="7"/>
        <v>28.4</v>
      </c>
      <c r="DG5" s="127">
        <f t="shared" ca="1" si="7"/>
        <v>0</v>
      </c>
      <c r="DH5" s="127">
        <f t="shared" ca="1" si="7"/>
        <v>0</v>
      </c>
      <c r="DI5" s="127">
        <f t="shared" ca="1" si="7"/>
        <v>0</v>
      </c>
      <c r="DJ5" s="127">
        <f t="shared" ca="1" si="7"/>
        <v>0</v>
      </c>
      <c r="DK5" s="127">
        <f t="shared" ca="1" si="7"/>
        <v>1.0999999999999996</v>
      </c>
      <c r="DL5" s="127">
        <f t="shared" ca="1" si="7"/>
        <v>21.4</v>
      </c>
      <c r="DM5" s="127">
        <f t="shared" ca="1" si="7"/>
        <v>30.1</v>
      </c>
      <c r="DN5" s="127">
        <f t="shared" ca="1" si="7"/>
        <v>195</v>
      </c>
    </row>
    <row r="6" spans="1:118" x14ac:dyDescent="0.2">
      <c r="A6" s="127">
        <v>2001</v>
      </c>
      <c r="B6" s="130">
        <v>5</v>
      </c>
      <c r="C6" s="130">
        <v>15.983870967741932</v>
      </c>
      <c r="D6" s="131">
        <v>130.29999999999998</v>
      </c>
      <c r="E6" s="131">
        <v>5.8000000000000043</v>
      </c>
      <c r="F6" s="131">
        <v>82.899999999999991</v>
      </c>
      <c r="G6" s="131">
        <v>20.400000000000002</v>
      </c>
      <c r="H6" s="131">
        <v>45.5</v>
      </c>
      <c r="I6" s="131">
        <v>45</v>
      </c>
      <c r="J6" s="131">
        <v>18.299999999999997</v>
      </c>
      <c r="K6" s="131">
        <v>79.800000000000011</v>
      </c>
      <c r="L6" s="131">
        <v>2.8999999999999986</v>
      </c>
      <c r="M6" s="131">
        <v>126.40000000000005</v>
      </c>
      <c r="N6" s="131">
        <v>0</v>
      </c>
      <c r="O6" s="131">
        <v>185.50000000000003</v>
      </c>
      <c r="P6" s="131">
        <v>0</v>
      </c>
      <c r="Q6" s="131">
        <v>247.5</v>
      </c>
      <c r="R6" s="131"/>
      <c r="S6" s="131"/>
      <c r="T6" s="131"/>
      <c r="V6" s="127">
        <f>1+V5</f>
        <v>2002</v>
      </c>
      <c r="W6" s="127">
        <f t="shared" ca="1" si="0"/>
        <v>607.30000000000007</v>
      </c>
      <c r="X6" s="127">
        <f t="shared" ca="1" si="1"/>
        <v>550.80000000000007</v>
      </c>
      <c r="Y6" s="127">
        <f t="shared" ca="1" si="1"/>
        <v>575.9</v>
      </c>
      <c r="Z6" s="127">
        <f t="shared" ca="1" si="1"/>
        <v>325.29999999999995</v>
      </c>
      <c r="AA6" s="127">
        <f t="shared" ca="1" si="1"/>
        <v>241</v>
      </c>
      <c r="AB6" s="127">
        <f t="shared" ca="1" si="1"/>
        <v>39.800000000000004</v>
      </c>
      <c r="AC6" s="127">
        <f t="shared" ca="1" si="1"/>
        <v>0.80000000000000426</v>
      </c>
      <c r="AD6" s="127">
        <f t="shared" ca="1" si="1"/>
        <v>5.1000000000000014</v>
      </c>
      <c r="AE6" s="127">
        <f t="shared" ca="1" si="1"/>
        <v>38.499999999999993</v>
      </c>
      <c r="AF6" s="127">
        <f t="shared" ca="1" si="1"/>
        <v>311.90000000000009</v>
      </c>
      <c r="AG6" s="127">
        <f t="shared" ca="1" si="1"/>
        <v>477.5</v>
      </c>
      <c r="AH6" s="127">
        <f t="shared" ca="1" si="1"/>
        <v>672.39999999999986</v>
      </c>
      <c r="AJ6" s="127">
        <f>1+AJ5</f>
        <v>2002</v>
      </c>
      <c r="AK6" s="127">
        <f t="shared" ca="1" si="2"/>
        <v>545.29999999999995</v>
      </c>
      <c r="AL6" s="127">
        <f t="shared" ca="1" si="2"/>
        <v>494.80000000000007</v>
      </c>
      <c r="AM6" s="127">
        <f t="shared" ca="1" si="2"/>
        <v>513.90000000000009</v>
      </c>
      <c r="AN6" s="127">
        <f t="shared" ca="1" si="2"/>
        <v>273.3</v>
      </c>
      <c r="AO6" s="127">
        <f t="shared" ca="1" si="2"/>
        <v>185.1</v>
      </c>
      <c r="AP6" s="127">
        <f t="shared" ca="1" si="2"/>
        <v>16.5</v>
      </c>
      <c r="AQ6" s="127">
        <f t="shared" ca="1" si="2"/>
        <v>0</v>
      </c>
      <c r="AR6" s="127">
        <f t="shared" ca="1" si="2"/>
        <v>0</v>
      </c>
      <c r="AS6" s="127">
        <f t="shared" ca="1" si="2"/>
        <v>17.099999999999998</v>
      </c>
      <c r="AT6" s="127">
        <f t="shared" ca="1" si="2"/>
        <v>255.9</v>
      </c>
      <c r="AU6" s="127">
        <f t="shared" ca="1" si="2"/>
        <v>417.5</v>
      </c>
      <c r="AV6" s="127">
        <f t="shared" ca="1" si="2"/>
        <v>610.39999999999986</v>
      </c>
      <c r="AW6" s="147">
        <f t="shared" ref="AW6:AW55" ca="1" si="8">SUM(AK6:AV6)</f>
        <v>3329.7999999999993</v>
      </c>
      <c r="AX6" s="127">
        <f>1+AX5</f>
        <v>2002</v>
      </c>
      <c r="AY6" s="127">
        <f t="shared" ca="1" si="3"/>
        <v>483.2999999999999</v>
      </c>
      <c r="AZ6" s="127">
        <f t="shared" ca="1" si="3"/>
        <v>438.80000000000007</v>
      </c>
      <c r="BA6" s="127">
        <f t="shared" ca="1" si="3"/>
        <v>451.90000000000009</v>
      </c>
      <c r="BB6" s="127">
        <f t="shared" ca="1" si="3"/>
        <v>223</v>
      </c>
      <c r="BC6" s="127">
        <f t="shared" ca="1" si="3"/>
        <v>132.69999999999996</v>
      </c>
      <c r="BD6" s="127">
        <f t="shared" ca="1" si="3"/>
        <v>5.3000000000000007</v>
      </c>
      <c r="BE6" s="127">
        <f t="shared" ca="1" si="3"/>
        <v>0</v>
      </c>
      <c r="BF6" s="127">
        <f t="shared" ca="1" si="3"/>
        <v>0</v>
      </c>
      <c r="BG6" s="127">
        <f t="shared" ca="1" si="3"/>
        <v>5.5</v>
      </c>
      <c r="BH6" s="127">
        <f t="shared" ca="1" si="3"/>
        <v>200.30000000000004</v>
      </c>
      <c r="BI6" s="127">
        <f t="shared" ca="1" si="3"/>
        <v>357.5</v>
      </c>
      <c r="BJ6" s="127">
        <f t="shared" ca="1" si="3"/>
        <v>548.4</v>
      </c>
      <c r="BL6" s="127">
        <f>1+BL5</f>
        <v>2002</v>
      </c>
      <c r="BM6" s="127">
        <f t="shared" ca="1" si="4"/>
        <v>421.2999999999999</v>
      </c>
      <c r="BN6" s="127">
        <f t="shared" ca="1" si="4"/>
        <v>382.80000000000013</v>
      </c>
      <c r="BO6" s="127">
        <f t="shared" ca="1" si="4"/>
        <v>389.90000000000003</v>
      </c>
      <c r="BP6" s="127">
        <f t="shared" ca="1" si="4"/>
        <v>175</v>
      </c>
      <c r="BQ6" s="127">
        <f t="shared" ca="1" si="4"/>
        <v>89.3</v>
      </c>
      <c r="BR6" s="127">
        <f t="shared" ca="1" si="4"/>
        <v>1.6999999999999993</v>
      </c>
      <c r="BS6" s="127">
        <f t="shared" ca="1" si="4"/>
        <v>0</v>
      </c>
      <c r="BT6" s="127">
        <f t="shared" ca="1" si="4"/>
        <v>0</v>
      </c>
      <c r="BU6" s="127">
        <f t="shared" ca="1" si="4"/>
        <v>0</v>
      </c>
      <c r="BV6" s="127">
        <f t="shared" ca="1" si="4"/>
        <v>151.19999999999999</v>
      </c>
      <c r="BW6" s="127">
        <f t="shared" ca="1" si="4"/>
        <v>298.5</v>
      </c>
      <c r="BX6" s="127">
        <f t="shared" ca="1" si="4"/>
        <v>486.4</v>
      </c>
      <c r="BZ6" s="127">
        <f>1+BZ5</f>
        <v>2002</v>
      </c>
      <c r="CA6" s="127">
        <f t="shared" ca="1" si="5"/>
        <v>359.29999999999995</v>
      </c>
      <c r="CB6" s="127">
        <f t="shared" ca="1" si="5"/>
        <v>326.80000000000007</v>
      </c>
      <c r="CC6" s="127">
        <f t="shared" ca="1" si="5"/>
        <v>327.90000000000003</v>
      </c>
      <c r="CD6" s="127">
        <f t="shared" ca="1" si="5"/>
        <v>128.1</v>
      </c>
      <c r="CE6" s="127">
        <f t="shared" ca="1" si="5"/>
        <v>51.8</v>
      </c>
      <c r="CF6" s="127">
        <f t="shared" ca="1" si="5"/>
        <v>0</v>
      </c>
      <c r="CG6" s="127">
        <f t="shared" ca="1" si="5"/>
        <v>0</v>
      </c>
      <c r="CH6" s="127">
        <f t="shared" ca="1" si="5"/>
        <v>0</v>
      </c>
      <c r="CI6" s="127">
        <f t="shared" ca="1" si="5"/>
        <v>0</v>
      </c>
      <c r="CJ6" s="127">
        <f t="shared" ca="1" si="5"/>
        <v>107.99999999999999</v>
      </c>
      <c r="CK6" s="127">
        <f t="shared" ca="1" si="5"/>
        <v>241.1</v>
      </c>
      <c r="CL6" s="127">
        <f t="shared" ca="1" si="5"/>
        <v>424.4</v>
      </c>
      <c r="CN6" s="127">
        <f>1+CN5</f>
        <v>2002</v>
      </c>
      <c r="CO6" s="127">
        <f t="shared" ca="1" si="6"/>
        <v>297.29999999999995</v>
      </c>
      <c r="CP6" s="127">
        <f t="shared" ca="1" si="6"/>
        <v>270.80000000000013</v>
      </c>
      <c r="CQ6" s="127">
        <f t="shared" ca="1" si="6"/>
        <v>265.90000000000003</v>
      </c>
      <c r="CR6" s="127">
        <f t="shared" ca="1" si="6"/>
        <v>87.200000000000017</v>
      </c>
      <c r="CS6" s="127">
        <f t="shared" ca="1" si="6"/>
        <v>23.999999999999996</v>
      </c>
      <c r="CT6" s="127">
        <f t="shared" ca="1" si="6"/>
        <v>0</v>
      </c>
      <c r="CU6" s="127">
        <f t="shared" ca="1" si="6"/>
        <v>0</v>
      </c>
      <c r="CV6" s="127">
        <f t="shared" ca="1" si="6"/>
        <v>0</v>
      </c>
      <c r="CW6" s="127">
        <f t="shared" ca="1" si="6"/>
        <v>0</v>
      </c>
      <c r="CX6" s="127">
        <f t="shared" ca="1" si="6"/>
        <v>66.8</v>
      </c>
      <c r="CY6" s="127">
        <f t="shared" ca="1" si="6"/>
        <v>186.70000000000002</v>
      </c>
      <c r="CZ6" s="127">
        <f t="shared" ca="1" si="6"/>
        <v>362.4</v>
      </c>
      <c r="DB6" s="127">
        <f>1+DB5</f>
        <v>2002</v>
      </c>
      <c r="DC6" s="127">
        <f t="shared" ref="DC6:DN24" ca="1" si="9">OFFSET($P$2,(ROW()-5)*12+COLUMN()-107,0)</f>
        <v>235.29999999999998</v>
      </c>
      <c r="DD6" s="127">
        <f t="shared" ca="1" si="9"/>
        <v>214.90000000000006</v>
      </c>
      <c r="DE6" s="127">
        <f t="shared" ca="1" si="9"/>
        <v>206.39999999999995</v>
      </c>
      <c r="DF6" s="127">
        <f t="shared" ca="1" si="9"/>
        <v>54.6</v>
      </c>
      <c r="DG6" s="127">
        <f t="shared" ca="1" si="9"/>
        <v>7.7</v>
      </c>
      <c r="DH6" s="127">
        <f t="shared" ca="1" si="9"/>
        <v>0</v>
      </c>
      <c r="DI6" s="127">
        <f t="shared" ca="1" si="9"/>
        <v>0</v>
      </c>
      <c r="DJ6" s="127">
        <f t="shared" ca="1" si="9"/>
        <v>0</v>
      </c>
      <c r="DK6" s="127">
        <f t="shared" ca="1" si="9"/>
        <v>0</v>
      </c>
      <c r="DL6" s="127">
        <f t="shared" ca="1" si="9"/>
        <v>33.700000000000003</v>
      </c>
      <c r="DM6" s="127">
        <f t="shared" ca="1" si="9"/>
        <v>135.5</v>
      </c>
      <c r="DN6" s="127">
        <f t="shared" ca="1" si="9"/>
        <v>300.39999999999992</v>
      </c>
    </row>
    <row r="7" spans="1:118" x14ac:dyDescent="0.2">
      <c r="A7" s="127">
        <v>2001</v>
      </c>
      <c r="B7" s="130">
        <v>6</v>
      </c>
      <c r="C7" s="130">
        <v>20.919999999999998</v>
      </c>
      <c r="D7" s="131">
        <v>45.400000000000006</v>
      </c>
      <c r="E7" s="131">
        <v>72.999999999999986</v>
      </c>
      <c r="F7" s="131">
        <v>24.900000000000002</v>
      </c>
      <c r="G7" s="131">
        <v>112.50000000000001</v>
      </c>
      <c r="H7" s="131">
        <v>11.700000000000001</v>
      </c>
      <c r="I7" s="131">
        <v>159.30000000000004</v>
      </c>
      <c r="J7" s="131">
        <v>1.4000000000000004</v>
      </c>
      <c r="K7" s="131">
        <v>209.00000000000003</v>
      </c>
      <c r="L7" s="131">
        <v>0</v>
      </c>
      <c r="M7" s="131">
        <v>267.60000000000002</v>
      </c>
      <c r="N7" s="131">
        <v>0</v>
      </c>
      <c r="O7" s="131">
        <v>327.59999999999991</v>
      </c>
      <c r="P7" s="131">
        <v>0</v>
      </c>
      <c r="Q7" s="131">
        <v>387.59999999999991</v>
      </c>
      <c r="R7" s="131"/>
      <c r="S7" s="131"/>
      <c r="T7" s="131"/>
      <c r="V7" s="127">
        <f t="shared" ref="V7:V24" si="10">1+V6</f>
        <v>2003</v>
      </c>
      <c r="W7" s="127">
        <f t="shared" ca="1" si="0"/>
        <v>821.20000000000016</v>
      </c>
      <c r="X7" s="127">
        <f t="shared" ca="1" si="1"/>
        <v>712.20000000000016</v>
      </c>
      <c r="Y7" s="127">
        <f t="shared" ca="1" si="1"/>
        <v>586.09999999999991</v>
      </c>
      <c r="Z7" s="127">
        <f t="shared" ca="1" si="1"/>
        <v>361.29999999999995</v>
      </c>
      <c r="AA7" s="127">
        <f t="shared" ca="1" si="1"/>
        <v>209.40000000000003</v>
      </c>
      <c r="AB7" s="127">
        <f t="shared" ca="1" si="1"/>
        <v>57.300000000000004</v>
      </c>
      <c r="AC7" s="127">
        <f t="shared" ca="1" si="1"/>
        <v>1.1000000000000014</v>
      </c>
      <c r="AD7" s="127">
        <f t="shared" ca="1" si="1"/>
        <v>4.0999999999999979</v>
      </c>
      <c r="AE7" s="127">
        <f t="shared" ca="1" si="1"/>
        <v>83.3</v>
      </c>
      <c r="AF7" s="127">
        <f t="shared" ca="1" si="1"/>
        <v>286.60000000000002</v>
      </c>
      <c r="AG7" s="127">
        <f t="shared" ca="1" si="1"/>
        <v>398.8</v>
      </c>
      <c r="AH7" s="127">
        <f t="shared" ca="1" si="1"/>
        <v>603.79999999999995</v>
      </c>
      <c r="AJ7" s="127">
        <f t="shared" ref="AJ7:AJ24" si="11">1+AJ6</f>
        <v>2003</v>
      </c>
      <c r="AK7" s="127">
        <f t="shared" ca="1" si="2"/>
        <v>759.2</v>
      </c>
      <c r="AL7" s="127">
        <f t="shared" ca="1" si="2"/>
        <v>656.20000000000016</v>
      </c>
      <c r="AM7" s="127">
        <f t="shared" ca="1" si="2"/>
        <v>524.09999999999991</v>
      </c>
      <c r="AN7" s="127">
        <f t="shared" ca="1" si="2"/>
        <v>303.3</v>
      </c>
      <c r="AO7" s="127">
        <f t="shared" ca="1" si="2"/>
        <v>147.60000000000002</v>
      </c>
      <c r="AP7" s="127">
        <f t="shared" ca="1" si="2"/>
        <v>30.300000000000004</v>
      </c>
      <c r="AQ7" s="127">
        <f t="shared" ca="1" si="2"/>
        <v>0</v>
      </c>
      <c r="AR7" s="127">
        <f t="shared" ca="1" si="2"/>
        <v>0</v>
      </c>
      <c r="AS7" s="127">
        <f t="shared" ca="1" si="2"/>
        <v>50.300000000000004</v>
      </c>
      <c r="AT7" s="127">
        <f t="shared" ca="1" si="2"/>
        <v>225.6</v>
      </c>
      <c r="AU7" s="127">
        <f t="shared" ca="1" si="2"/>
        <v>338.8</v>
      </c>
      <c r="AV7" s="127">
        <f t="shared" ca="1" si="2"/>
        <v>541.80000000000007</v>
      </c>
      <c r="AW7" s="147">
        <f t="shared" ca="1" si="8"/>
        <v>3577.2000000000007</v>
      </c>
      <c r="AX7" s="127">
        <f t="shared" ref="AX7:AX24" si="12">1+AX6</f>
        <v>2003</v>
      </c>
      <c r="AY7" s="127">
        <f t="shared" ca="1" si="3"/>
        <v>697.2</v>
      </c>
      <c r="AZ7" s="127">
        <f t="shared" ca="1" si="3"/>
        <v>600.20000000000005</v>
      </c>
      <c r="BA7" s="127">
        <f t="shared" ca="1" si="3"/>
        <v>462.09999999999997</v>
      </c>
      <c r="BB7" s="127">
        <f t="shared" ca="1" si="3"/>
        <v>248.10000000000002</v>
      </c>
      <c r="BC7" s="127">
        <f t="shared" ca="1" si="3"/>
        <v>90.5</v>
      </c>
      <c r="BD7" s="127">
        <f t="shared" ca="1" si="3"/>
        <v>14.2</v>
      </c>
      <c r="BE7" s="127">
        <f t="shared" ca="1" si="3"/>
        <v>0</v>
      </c>
      <c r="BF7" s="127">
        <f t="shared" ca="1" si="3"/>
        <v>0</v>
      </c>
      <c r="BG7" s="127">
        <f t="shared" ca="1" si="3"/>
        <v>27.200000000000003</v>
      </c>
      <c r="BH7" s="127">
        <f t="shared" ca="1" si="3"/>
        <v>173</v>
      </c>
      <c r="BI7" s="127">
        <f t="shared" ca="1" si="3"/>
        <v>278.8</v>
      </c>
      <c r="BJ7" s="127">
        <f t="shared" ca="1" si="3"/>
        <v>479.8</v>
      </c>
      <c r="BL7" s="127">
        <f t="shared" ref="BL7:BL24" si="13">1+BL6</f>
        <v>2003</v>
      </c>
      <c r="BM7" s="127">
        <f t="shared" ca="1" si="4"/>
        <v>635.20000000000005</v>
      </c>
      <c r="BN7" s="127">
        <f t="shared" ca="1" si="4"/>
        <v>544.20000000000005</v>
      </c>
      <c r="BO7" s="127">
        <f t="shared" ca="1" si="4"/>
        <v>400.09999999999997</v>
      </c>
      <c r="BP7" s="127">
        <f t="shared" ca="1" si="4"/>
        <v>194.10000000000002</v>
      </c>
      <c r="BQ7" s="127">
        <f t="shared" ca="1" si="4"/>
        <v>46.2</v>
      </c>
      <c r="BR7" s="127">
        <f t="shared" ca="1" si="4"/>
        <v>4.1999999999999993</v>
      </c>
      <c r="BS7" s="127">
        <f t="shared" ca="1" si="4"/>
        <v>0</v>
      </c>
      <c r="BT7" s="127">
        <f t="shared" ca="1" si="4"/>
        <v>0</v>
      </c>
      <c r="BU7" s="127">
        <f t="shared" ca="1" si="4"/>
        <v>13.799999999999999</v>
      </c>
      <c r="BV7" s="127">
        <f t="shared" ca="1" si="4"/>
        <v>122.39999999999999</v>
      </c>
      <c r="BW7" s="127">
        <f t="shared" ca="1" si="4"/>
        <v>221.5</v>
      </c>
      <c r="BX7" s="127">
        <f t="shared" ca="1" si="4"/>
        <v>417.79999999999995</v>
      </c>
      <c r="BZ7" s="127">
        <f t="shared" ref="BZ7:BZ24" si="14">1+BZ6</f>
        <v>2003</v>
      </c>
      <c r="CA7" s="127">
        <f t="shared" ca="1" si="5"/>
        <v>573.20000000000005</v>
      </c>
      <c r="CB7" s="127">
        <f t="shared" ca="1" si="5"/>
        <v>488.2</v>
      </c>
      <c r="CC7" s="127">
        <f t="shared" ca="1" si="5"/>
        <v>339.49999999999994</v>
      </c>
      <c r="CD7" s="127">
        <f t="shared" ca="1" si="5"/>
        <v>142.5</v>
      </c>
      <c r="CE7" s="127">
        <f t="shared" ca="1" si="5"/>
        <v>19.2</v>
      </c>
      <c r="CF7" s="127">
        <f t="shared" ca="1" si="5"/>
        <v>0.59999999999999964</v>
      </c>
      <c r="CG7" s="127">
        <f t="shared" ca="1" si="5"/>
        <v>0</v>
      </c>
      <c r="CH7" s="127">
        <f t="shared" ca="1" si="5"/>
        <v>0</v>
      </c>
      <c r="CI7" s="127">
        <f t="shared" ca="1" si="5"/>
        <v>4.7999999999999989</v>
      </c>
      <c r="CJ7" s="127">
        <f t="shared" ca="1" si="5"/>
        <v>76.699999999999974</v>
      </c>
      <c r="CK7" s="127">
        <f t="shared" ca="1" si="5"/>
        <v>166.70000000000002</v>
      </c>
      <c r="CL7" s="127">
        <f t="shared" ca="1" si="5"/>
        <v>355.79999999999995</v>
      </c>
      <c r="CN7" s="127">
        <f t="shared" ref="CN7:CN24" si="15">1+CN6</f>
        <v>2003</v>
      </c>
      <c r="CO7" s="127">
        <f t="shared" ca="1" si="6"/>
        <v>511.2</v>
      </c>
      <c r="CP7" s="127">
        <f t="shared" ca="1" si="6"/>
        <v>432.2</v>
      </c>
      <c r="CQ7" s="127">
        <f t="shared" ca="1" si="6"/>
        <v>281.2999999999999</v>
      </c>
      <c r="CR7" s="127">
        <f t="shared" ca="1" si="6"/>
        <v>100.2</v>
      </c>
      <c r="CS7" s="127">
        <f t="shared" ca="1" si="6"/>
        <v>3.7000000000000011</v>
      </c>
      <c r="CT7" s="127">
        <f t="shared" ca="1" si="6"/>
        <v>0</v>
      </c>
      <c r="CU7" s="127">
        <f t="shared" ca="1" si="6"/>
        <v>0</v>
      </c>
      <c r="CV7" s="127">
        <f t="shared" ca="1" si="6"/>
        <v>0</v>
      </c>
      <c r="CW7" s="127">
        <f t="shared" ca="1" si="6"/>
        <v>0.59999999999999964</v>
      </c>
      <c r="CX7" s="127">
        <f t="shared" ca="1" si="6"/>
        <v>38.200000000000003</v>
      </c>
      <c r="CY7" s="127">
        <f t="shared" ca="1" si="6"/>
        <v>118.39999999999999</v>
      </c>
      <c r="CZ7" s="127">
        <f t="shared" ca="1" si="6"/>
        <v>293.79999999999995</v>
      </c>
      <c r="DB7" s="127">
        <f t="shared" ref="DB7:DB24" si="16">1+DB6</f>
        <v>2003</v>
      </c>
      <c r="DC7" s="127">
        <f t="shared" ca="1" si="9"/>
        <v>449.20000000000005</v>
      </c>
      <c r="DD7" s="127">
        <f t="shared" ca="1" si="9"/>
        <v>376.19999999999993</v>
      </c>
      <c r="DE7" s="127">
        <f t="shared" ca="1" si="9"/>
        <v>228.59999999999994</v>
      </c>
      <c r="DF7" s="127">
        <f t="shared" ca="1" si="9"/>
        <v>69.5</v>
      </c>
      <c r="DG7" s="127">
        <f t="shared" ca="1" si="9"/>
        <v>0</v>
      </c>
      <c r="DH7" s="127">
        <f t="shared" ca="1" si="9"/>
        <v>0</v>
      </c>
      <c r="DI7" s="127">
        <f t="shared" ca="1" si="9"/>
        <v>0</v>
      </c>
      <c r="DJ7" s="127">
        <f t="shared" ca="1" si="9"/>
        <v>0</v>
      </c>
      <c r="DK7" s="127">
        <f t="shared" ca="1" si="9"/>
        <v>0</v>
      </c>
      <c r="DL7" s="127">
        <f t="shared" ca="1" si="9"/>
        <v>12.1</v>
      </c>
      <c r="DM7" s="127">
        <f t="shared" ca="1" si="9"/>
        <v>78.599999999999994</v>
      </c>
      <c r="DN7" s="127">
        <f t="shared" ca="1" si="9"/>
        <v>231.8</v>
      </c>
    </row>
    <row r="8" spans="1:118" x14ac:dyDescent="0.2">
      <c r="A8" s="127">
        <v>2001</v>
      </c>
      <c r="B8" s="130">
        <v>7</v>
      </c>
      <c r="C8" s="130">
        <v>22.932258064516123</v>
      </c>
      <c r="D8" s="131">
        <v>9.3999999999999986</v>
      </c>
      <c r="E8" s="131">
        <v>100.3</v>
      </c>
      <c r="F8" s="131">
        <v>3.1999999999999993</v>
      </c>
      <c r="G8" s="131">
        <v>156.10000000000005</v>
      </c>
      <c r="H8" s="131">
        <v>1.1999999999999993</v>
      </c>
      <c r="I8" s="131">
        <v>216.10000000000002</v>
      </c>
      <c r="J8" s="131">
        <v>0</v>
      </c>
      <c r="K8" s="131">
        <v>276.89999999999998</v>
      </c>
      <c r="L8" s="131">
        <v>0</v>
      </c>
      <c r="M8" s="131">
        <v>338.9</v>
      </c>
      <c r="N8" s="131">
        <v>0</v>
      </c>
      <c r="O8" s="131">
        <v>400.9</v>
      </c>
      <c r="P8" s="131">
        <v>0</v>
      </c>
      <c r="Q8" s="131">
        <v>462.90000000000003</v>
      </c>
      <c r="R8" s="131"/>
      <c r="S8" s="131"/>
      <c r="T8" s="131"/>
      <c r="V8" s="127">
        <f t="shared" si="10"/>
        <v>2004</v>
      </c>
      <c r="W8" s="127">
        <f t="shared" ca="1" si="0"/>
        <v>824.89999999999986</v>
      </c>
      <c r="X8" s="127">
        <f t="shared" ca="1" si="1"/>
        <v>637.40000000000009</v>
      </c>
      <c r="Y8" s="127">
        <f t="shared" ca="1" si="1"/>
        <v>491.2999999999999</v>
      </c>
      <c r="Z8" s="127">
        <f t="shared" ca="1" si="1"/>
        <v>307.50000000000006</v>
      </c>
      <c r="AA8" s="127">
        <f t="shared" ca="1" si="1"/>
        <v>147.60000000000002</v>
      </c>
      <c r="AB8" s="127">
        <f t="shared" ca="1" si="1"/>
        <v>50.900000000000006</v>
      </c>
      <c r="AC8" s="127">
        <f t="shared" ca="1" si="1"/>
        <v>12.099999999999998</v>
      </c>
      <c r="AD8" s="127">
        <f t="shared" ca="1" si="1"/>
        <v>34.600000000000009</v>
      </c>
      <c r="AE8" s="127">
        <f t="shared" ca="1" si="1"/>
        <v>50.3</v>
      </c>
      <c r="AF8" s="127">
        <f t="shared" ca="1" si="1"/>
        <v>252.39999999999995</v>
      </c>
      <c r="AG8" s="127">
        <f t="shared" ca="1" si="1"/>
        <v>414</v>
      </c>
      <c r="AH8" s="127">
        <f t="shared" ca="1" si="1"/>
        <v>655.50000000000011</v>
      </c>
      <c r="AJ8" s="127">
        <f t="shared" si="11"/>
        <v>2004</v>
      </c>
      <c r="AK8" s="127">
        <f t="shared" ca="1" si="2"/>
        <v>762.89999999999986</v>
      </c>
      <c r="AL8" s="127">
        <f t="shared" ca="1" si="2"/>
        <v>579.4</v>
      </c>
      <c r="AM8" s="127">
        <f t="shared" ca="1" si="2"/>
        <v>429.29999999999995</v>
      </c>
      <c r="AN8" s="127">
        <f t="shared" ca="1" si="2"/>
        <v>251.70000000000002</v>
      </c>
      <c r="AO8" s="127">
        <f t="shared" ca="1" si="2"/>
        <v>101.60000000000004</v>
      </c>
      <c r="AP8" s="127">
        <f t="shared" ca="1" si="2"/>
        <v>21.4</v>
      </c>
      <c r="AQ8" s="127">
        <f t="shared" ca="1" si="2"/>
        <v>2.1999999999999993</v>
      </c>
      <c r="AR8" s="127">
        <f t="shared" ca="1" si="2"/>
        <v>6.0999999999999979</v>
      </c>
      <c r="AS8" s="127">
        <f t="shared" ca="1" si="2"/>
        <v>22.999999999999996</v>
      </c>
      <c r="AT8" s="127">
        <f t="shared" ca="1" si="2"/>
        <v>190.89999999999995</v>
      </c>
      <c r="AU8" s="127">
        <f t="shared" ca="1" si="2"/>
        <v>353.99999999999994</v>
      </c>
      <c r="AV8" s="127">
        <f t="shared" ca="1" si="2"/>
        <v>593.50000000000011</v>
      </c>
      <c r="AW8" s="147">
        <f t="shared" ca="1" si="8"/>
        <v>3315.9999999999995</v>
      </c>
      <c r="AX8" s="127">
        <f t="shared" si="12"/>
        <v>2004</v>
      </c>
      <c r="AY8" s="127">
        <f t="shared" ca="1" si="3"/>
        <v>700.89999999999986</v>
      </c>
      <c r="AZ8" s="127">
        <f t="shared" ca="1" si="3"/>
        <v>521.4</v>
      </c>
      <c r="BA8" s="127">
        <f t="shared" ca="1" si="3"/>
        <v>367.29999999999995</v>
      </c>
      <c r="BB8" s="127">
        <f t="shared" ca="1" si="3"/>
        <v>199.70000000000002</v>
      </c>
      <c r="BC8" s="127">
        <f t="shared" ca="1" si="3"/>
        <v>65.100000000000009</v>
      </c>
      <c r="BD8" s="127">
        <f t="shared" ca="1" si="3"/>
        <v>3.7000000000000011</v>
      </c>
      <c r="BE8" s="127">
        <f t="shared" ca="1" si="3"/>
        <v>0</v>
      </c>
      <c r="BF8" s="127">
        <f t="shared" ca="1" si="3"/>
        <v>0</v>
      </c>
      <c r="BG8" s="127">
        <f t="shared" ca="1" si="3"/>
        <v>5.9999999999999982</v>
      </c>
      <c r="BH8" s="127">
        <f t="shared" ca="1" si="3"/>
        <v>133.59999999999997</v>
      </c>
      <c r="BI8" s="127">
        <f t="shared" ca="1" si="3"/>
        <v>293.99999999999994</v>
      </c>
      <c r="BJ8" s="127">
        <f t="shared" ca="1" si="3"/>
        <v>531.5</v>
      </c>
      <c r="BL8" s="127">
        <f t="shared" si="13"/>
        <v>2004</v>
      </c>
      <c r="BM8" s="127">
        <f t="shared" ca="1" si="4"/>
        <v>638.9</v>
      </c>
      <c r="BN8" s="127">
        <f t="shared" ca="1" si="4"/>
        <v>463.4</v>
      </c>
      <c r="BO8" s="127">
        <f t="shared" ca="1" si="4"/>
        <v>305.29999999999995</v>
      </c>
      <c r="BP8" s="127">
        <f t="shared" ca="1" si="4"/>
        <v>153.1</v>
      </c>
      <c r="BQ8" s="127">
        <f t="shared" ca="1" si="4"/>
        <v>39.299999999999997</v>
      </c>
      <c r="BR8" s="127">
        <f t="shared" ca="1" si="4"/>
        <v>0</v>
      </c>
      <c r="BS8" s="127">
        <f t="shared" ca="1" si="4"/>
        <v>0</v>
      </c>
      <c r="BT8" s="127">
        <f t="shared" ca="1" si="4"/>
        <v>0</v>
      </c>
      <c r="BU8" s="127">
        <f t="shared" ca="1" si="4"/>
        <v>0.59999999999999964</v>
      </c>
      <c r="BV8" s="127">
        <f t="shared" ca="1" si="4"/>
        <v>81.899999999999963</v>
      </c>
      <c r="BW8" s="127">
        <f t="shared" ca="1" si="4"/>
        <v>233.99999999999997</v>
      </c>
      <c r="BX8" s="127">
        <f t="shared" ca="1" si="4"/>
        <v>469.5</v>
      </c>
      <c r="BZ8" s="127">
        <f t="shared" si="14"/>
        <v>2004</v>
      </c>
      <c r="CA8" s="127">
        <f t="shared" ca="1" si="5"/>
        <v>576.9</v>
      </c>
      <c r="CB8" s="127">
        <f t="shared" ca="1" si="5"/>
        <v>405.4</v>
      </c>
      <c r="CC8" s="127">
        <f t="shared" ca="1" si="5"/>
        <v>246.9</v>
      </c>
      <c r="CD8" s="127">
        <f t="shared" ca="1" si="5"/>
        <v>109.6</v>
      </c>
      <c r="CE8" s="127">
        <f t="shared" ca="1" si="5"/>
        <v>20.399999999999999</v>
      </c>
      <c r="CF8" s="127">
        <f t="shared" ca="1" si="5"/>
        <v>0</v>
      </c>
      <c r="CG8" s="127">
        <f t="shared" ca="1" si="5"/>
        <v>0</v>
      </c>
      <c r="CH8" s="127">
        <f t="shared" ca="1" si="5"/>
        <v>0</v>
      </c>
      <c r="CI8" s="127">
        <f t="shared" ca="1" si="5"/>
        <v>0</v>
      </c>
      <c r="CJ8" s="127">
        <f t="shared" ca="1" si="5"/>
        <v>39.800000000000004</v>
      </c>
      <c r="CK8" s="127">
        <f t="shared" ca="1" si="5"/>
        <v>175.69999999999996</v>
      </c>
      <c r="CL8" s="127">
        <f t="shared" ca="1" si="5"/>
        <v>407.49999999999994</v>
      </c>
      <c r="CN8" s="127">
        <f t="shared" si="15"/>
        <v>2004</v>
      </c>
      <c r="CO8" s="127">
        <f t="shared" ca="1" si="6"/>
        <v>514.90000000000009</v>
      </c>
      <c r="CP8" s="127">
        <f t="shared" ca="1" si="6"/>
        <v>347.4</v>
      </c>
      <c r="CQ8" s="127">
        <f t="shared" ca="1" si="6"/>
        <v>191.2</v>
      </c>
      <c r="CR8" s="127">
        <f t="shared" ca="1" si="6"/>
        <v>69.3</v>
      </c>
      <c r="CS8" s="127">
        <f t="shared" ca="1" si="6"/>
        <v>11.1</v>
      </c>
      <c r="CT8" s="127">
        <f t="shared" ca="1" si="6"/>
        <v>0</v>
      </c>
      <c r="CU8" s="127">
        <f t="shared" ca="1" si="6"/>
        <v>0</v>
      </c>
      <c r="CV8" s="127">
        <f t="shared" ca="1" si="6"/>
        <v>0</v>
      </c>
      <c r="CW8" s="127">
        <f t="shared" ca="1" si="6"/>
        <v>0</v>
      </c>
      <c r="CX8" s="127">
        <f t="shared" ca="1" si="6"/>
        <v>14.2</v>
      </c>
      <c r="CY8" s="127">
        <f t="shared" ca="1" si="6"/>
        <v>120.1</v>
      </c>
      <c r="CZ8" s="127">
        <f t="shared" ca="1" si="6"/>
        <v>346.09999999999997</v>
      </c>
      <c r="DB8" s="127">
        <f t="shared" si="16"/>
        <v>2004</v>
      </c>
      <c r="DC8" s="127">
        <f t="shared" ca="1" si="9"/>
        <v>453.40000000000003</v>
      </c>
      <c r="DD8" s="127">
        <f t="shared" ca="1" si="9"/>
        <v>289.39999999999998</v>
      </c>
      <c r="DE8" s="127">
        <f t="shared" ca="1" si="9"/>
        <v>141.80000000000001</v>
      </c>
      <c r="DF8" s="127">
        <f t="shared" ca="1" si="9"/>
        <v>34.6</v>
      </c>
      <c r="DG8" s="127">
        <f t="shared" ca="1" si="9"/>
        <v>5.2</v>
      </c>
      <c r="DH8" s="127">
        <f t="shared" ca="1" si="9"/>
        <v>0</v>
      </c>
      <c r="DI8" s="127">
        <f t="shared" ca="1" si="9"/>
        <v>0</v>
      </c>
      <c r="DJ8" s="127">
        <f t="shared" ca="1" si="9"/>
        <v>0</v>
      </c>
      <c r="DK8" s="127">
        <f t="shared" ca="1" si="9"/>
        <v>0</v>
      </c>
      <c r="DL8" s="127">
        <f t="shared" ca="1" si="9"/>
        <v>4.7</v>
      </c>
      <c r="DM8" s="127">
        <f t="shared" ca="1" si="9"/>
        <v>72.2</v>
      </c>
      <c r="DN8" s="127">
        <f t="shared" ca="1" si="9"/>
        <v>288</v>
      </c>
    </row>
    <row r="9" spans="1:118" x14ac:dyDescent="0.2">
      <c r="A9" s="127">
        <v>2001</v>
      </c>
      <c r="B9" s="130">
        <v>8</v>
      </c>
      <c r="C9" s="130">
        <v>23.232258064516131</v>
      </c>
      <c r="D9" s="131">
        <v>0</v>
      </c>
      <c r="E9" s="131">
        <v>100.19999999999999</v>
      </c>
      <c r="F9" s="131">
        <v>0</v>
      </c>
      <c r="G9" s="131">
        <v>162.19999999999999</v>
      </c>
      <c r="H9" s="131">
        <v>0</v>
      </c>
      <c r="I9" s="131">
        <v>224.2</v>
      </c>
      <c r="J9" s="131">
        <v>0</v>
      </c>
      <c r="K9" s="131">
        <v>286.20000000000005</v>
      </c>
      <c r="L9" s="131">
        <v>0</v>
      </c>
      <c r="M9" s="131">
        <v>348.20000000000005</v>
      </c>
      <c r="N9" s="131">
        <v>0</v>
      </c>
      <c r="O9" s="131">
        <v>410.2000000000001</v>
      </c>
      <c r="P9" s="131">
        <v>0</v>
      </c>
      <c r="Q9" s="131">
        <v>472.2000000000001</v>
      </c>
      <c r="R9" s="131"/>
      <c r="S9" s="131"/>
      <c r="T9" s="131"/>
      <c r="V9" s="127">
        <f t="shared" si="10"/>
        <v>2005</v>
      </c>
      <c r="W9" s="127">
        <f t="shared" ca="1" si="0"/>
        <v>762.40000000000009</v>
      </c>
      <c r="X9" s="127">
        <f t="shared" ca="1" si="1"/>
        <v>628.00000000000011</v>
      </c>
      <c r="Y9" s="127">
        <f t="shared" ca="1" si="1"/>
        <v>607.30000000000007</v>
      </c>
      <c r="Z9" s="127">
        <f t="shared" ca="1" si="1"/>
        <v>301.09999999999997</v>
      </c>
      <c r="AA9" s="127">
        <f t="shared" ca="1" si="1"/>
        <v>201.89999999999998</v>
      </c>
      <c r="AB9" s="127">
        <f t="shared" ca="1" si="1"/>
        <v>14.599999999999998</v>
      </c>
      <c r="AC9" s="127">
        <f t="shared" ca="1" si="1"/>
        <v>1.1999999999999993</v>
      </c>
      <c r="AD9" s="127">
        <f t="shared" ca="1" si="1"/>
        <v>3.3999999999999986</v>
      </c>
      <c r="AE9" s="127">
        <f t="shared" ca="1" si="1"/>
        <v>32.5</v>
      </c>
      <c r="AF9" s="127">
        <f t="shared" ca="1" si="1"/>
        <v>235</v>
      </c>
      <c r="AG9" s="127">
        <f t="shared" ca="1" si="1"/>
        <v>406.20000000000005</v>
      </c>
      <c r="AH9" s="127">
        <f t="shared" ca="1" si="1"/>
        <v>721.7</v>
      </c>
      <c r="AJ9" s="127">
        <f t="shared" si="11"/>
        <v>2005</v>
      </c>
      <c r="AK9" s="127">
        <f t="shared" ca="1" si="2"/>
        <v>700.40000000000009</v>
      </c>
      <c r="AL9" s="127">
        <f t="shared" ca="1" si="2"/>
        <v>572</v>
      </c>
      <c r="AM9" s="127">
        <f t="shared" ca="1" si="2"/>
        <v>545.30000000000007</v>
      </c>
      <c r="AN9" s="127">
        <f t="shared" ca="1" si="2"/>
        <v>242.5</v>
      </c>
      <c r="AO9" s="127">
        <f t="shared" ca="1" si="2"/>
        <v>143.4</v>
      </c>
      <c r="AP9" s="127">
        <f t="shared" ca="1" si="2"/>
        <v>4.3999999999999986</v>
      </c>
      <c r="AQ9" s="127">
        <f t="shared" ca="1" si="2"/>
        <v>0</v>
      </c>
      <c r="AR9" s="127">
        <f t="shared" ca="1" si="2"/>
        <v>0.10000000000000142</v>
      </c>
      <c r="AS9" s="127">
        <f t="shared" ca="1" si="2"/>
        <v>15.299999999999999</v>
      </c>
      <c r="AT9" s="127">
        <f t="shared" ca="1" si="2"/>
        <v>182.8</v>
      </c>
      <c r="AU9" s="127">
        <f t="shared" ca="1" si="2"/>
        <v>346.20000000000005</v>
      </c>
      <c r="AV9" s="127">
        <f t="shared" ca="1" si="2"/>
        <v>659.7</v>
      </c>
      <c r="AW9" s="147">
        <f t="shared" ca="1" si="8"/>
        <v>3412.1000000000004</v>
      </c>
      <c r="AX9" s="127">
        <f t="shared" si="12"/>
        <v>2005</v>
      </c>
      <c r="AY9" s="127">
        <f t="shared" ca="1" si="3"/>
        <v>638.40000000000009</v>
      </c>
      <c r="AZ9" s="127">
        <f t="shared" ca="1" si="3"/>
        <v>516</v>
      </c>
      <c r="BA9" s="127">
        <f t="shared" ca="1" si="3"/>
        <v>483.30000000000007</v>
      </c>
      <c r="BB9" s="127">
        <f t="shared" ca="1" si="3"/>
        <v>185.6</v>
      </c>
      <c r="BC9" s="127">
        <f t="shared" ca="1" si="3"/>
        <v>93.4</v>
      </c>
      <c r="BD9" s="127">
        <f t="shared" ca="1" si="3"/>
        <v>0</v>
      </c>
      <c r="BE9" s="127">
        <f t="shared" ca="1" si="3"/>
        <v>0</v>
      </c>
      <c r="BF9" s="127">
        <f t="shared" ca="1" si="3"/>
        <v>0</v>
      </c>
      <c r="BG9" s="127">
        <f t="shared" ca="1" si="3"/>
        <v>7.6</v>
      </c>
      <c r="BH9" s="127">
        <f t="shared" ca="1" si="3"/>
        <v>134.00000000000003</v>
      </c>
      <c r="BI9" s="127">
        <f t="shared" ca="1" si="3"/>
        <v>286.8</v>
      </c>
      <c r="BJ9" s="127">
        <f t="shared" ca="1" si="3"/>
        <v>597.70000000000005</v>
      </c>
      <c r="BL9" s="127">
        <f t="shared" si="13"/>
        <v>2005</v>
      </c>
      <c r="BM9" s="127">
        <f t="shared" ca="1" si="4"/>
        <v>576.40000000000009</v>
      </c>
      <c r="BN9" s="127">
        <f t="shared" ca="1" si="4"/>
        <v>460</v>
      </c>
      <c r="BO9" s="127">
        <f t="shared" ca="1" si="4"/>
        <v>421.3</v>
      </c>
      <c r="BP9" s="127">
        <f t="shared" ca="1" si="4"/>
        <v>132.1</v>
      </c>
      <c r="BQ9" s="127">
        <f t="shared" ca="1" si="4"/>
        <v>55.099999999999994</v>
      </c>
      <c r="BR9" s="127">
        <f t="shared" ca="1" si="4"/>
        <v>0</v>
      </c>
      <c r="BS9" s="127">
        <f t="shared" ca="1" si="4"/>
        <v>0</v>
      </c>
      <c r="BT9" s="127">
        <f t="shared" ca="1" si="4"/>
        <v>0</v>
      </c>
      <c r="BU9" s="127">
        <f t="shared" ca="1" si="4"/>
        <v>3.5999999999999996</v>
      </c>
      <c r="BV9" s="127">
        <f t="shared" ca="1" si="4"/>
        <v>89.800000000000011</v>
      </c>
      <c r="BW9" s="127">
        <f t="shared" ca="1" si="4"/>
        <v>231.2</v>
      </c>
      <c r="BX9" s="127">
        <f t="shared" ca="1" si="4"/>
        <v>535.70000000000005</v>
      </c>
      <c r="BZ9" s="127">
        <f t="shared" si="14"/>
        <v>2005</v>
      </c>
      <c r="CA9" s="127">
        <f t="shared" ca="1" si="5"/>
        <v>514.4</v>
      </c>
      <c r="CB9" s="127">
        <f t="shared" ca="1" si="5"/>
        <v>403.99999999999994</v>
      </c>
      <c r="CC9" s="127">
        <f t="shared" ca="1" si="5"/>
        <v>359.3</v>
      </c>
      <c r="CD9" s="127">
        <f t="shared" ca="1" si="5"/>
        <v>84</v>
      </c>
      <c r="CE9" s="127">
        <f t="shared" ca="1" si="5"/>
        <v>29.700000000000003</v>
      </c>
      <c r="CF9" s="127">
        <f t="shared" ca="1" si="5"/>
        <v>0</v>
      </c>
      <c r="CG9" s="127">
        <f t="shared" ca="1" si="5"/>
        <v>0</v>
      </c>
      <c r="CH9" s="127">
        <f t="shared" ca="1" si="5"/>
        <v>0</v>
      </c>
      <c r="CI9" s="127">
        <f t="shared" ca="1" si="5"/>
        <v>0</v>
      </c>
      <c r="CJ9" s="127">
        <f t="shared" ca="1" si="5"/>
        <v>53.500000000000007</v>
      </c>
      <c r="CK9" s="127">
        <f t="shared" ca="1" si="5"/>
        <v>182.8</v>
      </c>
      <c r="CL9" s="127">
        <f t="shared" ca="1" si="5"/>
        <v>473.7000000000001</v>
      </c>
      <c r="CN9" s="127">
        <f t="shared" si="15"/>
        <v>2005</v>
      </c>
      <c r="CO9" s="127">
        <f t="shared" ca="1" si="6"/>
        <v>452.4</v>
      </c>
      <c r="CP9" s="127">
        <f t="shared" ca="1" si="6"/>
        <v>347.99999999999994</v>
      </c>
      <c r="CQ9" s="127">
        <f t="shared" ca="1" si="6"/>
        <v>299.99999999999994</v>
      </c>
      <c r="CR9" s="127">
        <f t="shared" ca="1" si="6"/>
        <v>40.70000000000001</v>
      </c>
      <c r="CS9" s="127">
        <f t="shared" ca="1" si="6"/>
        <v>14.700000000000001</v>
      </c>
      <c r="CT9" s="127">
        <f t="shared" ca="1" si="6"/>
        <v>0</v>
      </c>
      <c r="CU9" s="127">
        <f t="shared" ca="1" si="6"/>
        <v>0</v>
      </c>
      <c r="CV9" s="127">
        <f t="shared" ca="1" si="6"/>
        <v>0</v>
      </c>
      <c r="CW9" s="127">
        <f t="shared" ca="1" si="6"/>
        <v>0</v>
      </c>
      <c r="CX9" s="127">
        <f t="shared" ca="1" si="6"/>
        <v>25.900000000000006</v>
      </c>
      <c r="CY9" s="127">
        <f t="shared" ca="1" si="6"/>
        <v>141.00000000000003</v>
      </c>
      <c r="CZ9" s="127">
        <f t="shared" ca="1" si="6"/>
        <v>411.7000000000001</v>
      </c>
      <c r="DB9" s="127">
        <f t="shared" si="16"/>
        <v>2005</v>
      </c>
      <c r="DC9" s="127">
        <f t="shared" ca="1" si="9"/>
        <v>390.40000000000003</v>
      </c>
      <c r="DD9" s="127">
        <f t="shared" ca="1" si="9"/>
        <v>291.99999999999994</v>
      </c>
      <c r="DE9" s="127">
        <f t="shared" ca="1" si="9"/>
        <v>242.00000000000003</v>
      </c>
      <c r="DF9" s="127">
        <f t="shared" ca="1" si="9"/>
        <v>16.5</v>
      </c>
      <c r="DG9" s="127">
        <f t="shared" ca="1" si="9"/>
        <v>4.7</v>
      </c>
      <c r="DH9" s="127">
        <f t="shared" ca="1" si="9"/>
        <v>0</v>
      </c>
      <c r="DI9" s="127">
        <f t="shared" ca="1" si="9"/>
        <v>0</v>
      </c>
      <c r="DJ9" s="127">
        <f t="shared" ca="1" si="9"/>
        <v>0</v>
      </c>
      <c r="DK9" s="127">
        <f t="shared" ca="1" si="9"/>
        <v>0</v>
      </c>
      <c r="DL9" s="127">
        <f t="shared" ca="1" si="9"/>
        <v>7.8000000000000007</v>
      </c>
      <c r="DM9" s="127">
        <f t="shared" ca="1" si="9"/>
        <v>103.69999999999999</v>
      </c>
      <c r="DN9" s="127">
        <f t="shared" ca="1" si="9"/>
        <v>349.70000000000016</v>
      </c>
    </row>
    <row r="10" spans="1:118" x14ac:dyDescent="0.2">
      <c r="A10" s="127">
        <v>2001</v>
      </c>
      <c r="B10" s="130">
        <v>9</v>
      </c>
      <c r="C10" s="130">
        <v>16.876666666666669</v>
      </c>
      <c r="D10" s="131">
        <v>111.39999999999999</v>
      </c>
      <c r="E10" s="131">
        <v>17.700000000000003</v>
      </c>
      <c r="F10" s="131">
        <v>69.900000000000006</v>
      </c>
      <c r="G10" s="131">
        <v>36.200000000000003</v>
      </c>
      <c r="H10" s="131">
        <v>39.299999999999997</v>
      </c>
      <c r="I10" s="131">
        <v>65.599999999999994</v>
      </c>
      <c r="J10" s="131">
        <v>19.100000000000001</v>
      </c>
      <c r="K10" s="131">
        <v>105.39999999999998</v>
      </c>
      <c r="L10" s="131">
        <v>9.6999999999999993</v>
      </c>
      <c r="M10" s="131">
        <v>155.99999999999997</v>
      </c>
      <c r="N10" s="131">
        <v>5</v>
      </c>
      <c r="O10" s="131">
        <v>211.29999999999998</v>
      </c>
      <c r="P10" s="131">
        <v>1.0999999999999996</v>
      </c>
      <c r="Q10" s="131">
        <v>267.39999999999998</v>
      </c>
      <c r="R10" s="131"/>
      <c r="S10" s="131"/>
      <c r="T10" s="131"/>
      <c r="V10" s="127">
        <f t="shared" si="10"/>
        <v>2006</v>
      </c>
      <c r="W10" s="127">
        <f t="shared" ca="1" si="0"/>
        <v>556.70000000000005</v>
      </c>
      <c r="X10" s="127">
        <f t="shared" ca="1" si="1"/>
        <v>594</v>
      </c>
      <c r="Y10" s="127">
        <f t="shared" ca="1" si="1"/>
        <v>523.4</v>
      </c>
      <c r="Z10" s="127">
        <f t="shared" ca="1" si="1"/>
        <v>278.40000000000003</v>
      </c>
      <c r="AA10" s="127">
        <f t="shared" ca="1" si="1"/>
        <v>153.4</v>
      </c>
      <c r="AB10" s="127">
        <f t="shared" ca="1" si="1"/>
        <v>24.900000000000006</v>
      </c>
      <c r="AC10" s="127">
        <f t="shared" ca="1" si="1"/>
        <v>2.1000000000000014</v>
      </c>
      <c r="AD10" s="127">
        <f t="shared" ca="1" si="1"/>
        <v>1.2000000000000028</v>
      </c>
      <c r="AE10" s="127">
        <f t="shared" ca="1" si="1"/>
        <v>94.199999999999989</v>
      </c>
      <c r="AF10" s="127">
        <f t="shared" ca="1" si="1"/>
        <v>311.3</v>
      </c>
      <c r="AG10" s="127">
        <f t="shared" ca="1" si="1"/>
        <v>416.79999999999995</v>
      </c>
      <c r="AH10" s="127">
        <f t="shared" ca="1" si="1"/>
        <v>522.4</v>
      </c>
      <c r="AJ10" s="127">
        <f t="shared" si="11"/>
        <v>2006</v>
      </c>
      <c r="AK10" s="127">
        <f t="shared" ca="1" si="2"/>
        <v>494.69999999999993</v>
      </c>
      <c r="AL10" s="127">
        <f t="shared" ca="1" si="2"/>
        <v>538</v>
      </c>
      <c r="AM10" s="127">
        <f t="shared" ca="1" si="2"/>
        <v>461.39999999999992</v>
      </c>
      <c r="AN10" s="127">
        <f t="shared" ca="1" si="2"/>
        <v>219.49999999999997</v>
      </c>
      <c r="AO10" s="127">
        <f t="shared" ca="1" si="2"/>
        <v>105.9</v>
      </c>
      <c r="AP10" s="127">
        <f t="shared" ca="1" si="2"/>
        <v>8.8000000000000007</v>
      </c>
      <c r="AQ10" s="127">
        <f t="shared" ca="1" si="2"/>
        <v>0</v>
      </c>
      <c r="AR10" s="127">
        <f t="shared" ca="1" si="2"/>
        <v>0</v>
      </c>
      <c r="AS10" s="127">
        <f t="shared" ca="1" si="2"/>
        <v>52.099999999999994</v>
      </c>
      <c r="AT10" s="127">
        <f t="shared" ca="1" si="2"/>
        <v>251.29999999999998</v>
      </c>
      <c r="AU10" s="127">
        <f t="shared" ca="1" si="2"/>
        <v>356.79999999999995</v>
      </c>
      <c r="AV10" s="127">
        <f t="shared" ca="1" si="2"/>
        <v>460.40000000000003</v>
      </c>
      <c r="AW10" s="147">
        <f t="shared" ca="1" si="8"/>
        <v>2948.9</v>
      </c>
      <c r="AX10" s="127">
        <f t="shared" si="12"/>
        <v>2006</v>
      </c>
      <c r="AY10" s="127">
        <f t="shared" ca="1" si="3"/>
        <v>432.69999999999993</v>
      </c>
      <c r="AZ10" s="127">
        <f t="shared" ca="1" si="3"/>
        <v>481.99999999999994</v>
      </c>
      <c r="BA10" s="127">
        <f t="shared" ca="1" si="3"/>
        <v>399.4</v>
      </c>
      <c r="BB10" s="127">
        <f t="shared" ca="1" si="3"/>
        <v>165.8</v>
      </c>
      <c r="BC10" s="127">
        <f t="shared" ca="1" si="3"/>
        <v>65.100000000000009</v>
      </c>
      <c r="BD10" s="127">
        <f t="shared" ca="1" si="3"/>
        <v>2</v>
      </c>
      <c r="BE10" s="127">
        <f t="shared" ca="1" si="3"/>
        <v>0</v>
      </c>
      <c r="BF10" s="127">
        <f t="shared" ca="1" si="3"/>
        <v>0</v>
      </c>
      <c r="BG10" s="127">
        <f t="shared" ca="1" si="3"/>
        <v>27.8</v>
      </c>
      <c r="BH10" s="127">
        <f t="shared" ca="1" si="3"/>
        <v>191.7</v>
      </c>
      <c r="BI10" s="127">
        <f t="shared" ca="1" si="3"/>
        <v>296.79999999999995</v>
      </c>
      <c r="BJ10" s="127">
        <f t="shared" ca="1" si="3"/>
        <v>398.40000000000009</v>
      </c>
      <c r="BL10" s="127">
        <f t="shared" si="13"/>
        <v>2006</v>
      </c>
      <c r="BM10" s="127">
        <f t="shared" ca="1" si="4"/>
        <v>370.69999999999993</v>
      </c>
      <c r="BN10" s="127">
        <f t="shared" ca="1" si="4"/>
        <v>425.99999999999994</v>
      </c>
      <c r="BO10" s="127">
        <f t="shared" ca="1" si="4"/>
        <v>337.4</v>
      </c>
      <c r="BP10" s="127">
        <f t="shared" ca="1" si="4"/>
        <v>118.20000000000002</v>
      </c>
      <c r="BQ10" s="127">
        <f t="shared" ca="1" si="4"/>
        <v>31.8</v>
      </c>
      <c r="BR10" s="127">
        <f t="shared" ca="1" si="4"/>
        <v>0</v>
      </c>
      <c r="BS10" s="127">
        <f t="shared" ca="1" si="4"/>
        <v>0</v>
      </c>
      <c r="BT10" s="127">
        <f t="shared" ca="1" si="4"/>
        <v>0</v>
      </c>
      <c r="BU10" s="127">
        <f t="shared" ca="1" si="4"/>
        <v>10.3</v>
      </c>
      <c r="BV10" s="127">
        <f t="shared" ca="1" si="4"/>
        <v>136.50000000000003</v>
      </c>
      <c r="BW10" s="127">
        <f t="shared" ca="1" si="4"/>
        <v>237.90000000000003</v>
      </c>
      <c r="BX10" s="127">
        <f t="shared" ca="1" si="4"/>
        <v>336.40000000000009</v>
      </c>
      <c r="BZ10" s="127">
        <f t="shared" si="14"/>
        <v>2006</v>
      </c>
      <c r="CA10" s="127">
        <f t="shared" ca="1" si="5"/>
        <v>308.69999999999993</v>
      </c>
      <c r="CB10" s="127">
        <f t="shared" ca="1" si="5"/>
        <v>370.00000000000006</v>
      </c>
      <c r="CC10" s="127">
        <f t="shared" ca="1" si="5"/>
        <v>276.5</v>
      </c>
      <c r="CD10" s="127">
        <f t="shared" ca="1" si="5"/>
        <v>77.899999999999991</v>
      </c>
      <c r="CE10" s="127">
        <f t="shared" ca="1" si="5"/>
        <v>12.399999999999999</v>
      </c>
      <c r="CF10" s="127">
        <f t="shared" ca="1" si="5"/>
        <v>0</v>
      </c>
      <c r="CG10" s="127">
        <f t="shared" ca="1" si="5"/>
        <v>0</v>
      </c>
      <c r="CH10" s="127">
        <f t="shared" ca="1" si="5"/>
        <v>0</v>
      </c>
      <c r="CI10" s="127">
        <f t="shared" ca="1" si="5"/>
        <v>2</v>
      </c>
      <c r="CJ10" s="127">
        <f t="shared" ca="1" si="5"/>
        <v>90.600000000000023</v>
      </c>
      <c r="CK10" s="127">
        <f t="shared" ca="1" si="5"/>
        <v>181.80000000000004</v>
      </c>
      <c r="CL10" s="127">
        <f t="shared" ca="1" si="5"/>
        <v>274.40000000000009</v>
      </c>
      <c r="CN10" s="127">
        <f t="shared" si="15"/>
        <v>2006</v>
      </c>
      <c r="CO10" s="127">
        <f t="shared" ca="1" si="6"/>
        <v>246.7</v>
      </c>
      <c r="CP10" s="127">
        <f t="shared" ca="1" si="6"/>
        <v>314</v>
      </c>
      <c r="CQ10" s="127">
        <f t="shared" ca="1" si="6"/>
        <v>219.20000000000005</v>
      </c>
      <c r="CR10" s="127">
        <f t="shared" ca="1" si="6"/>
        <v>44.2</v>
      </c>
      <c r="CS10" s="127">
        <f t="shared" ca="1" si="6"/>
        <v>2.5999999999999996</v>
      </c>
      <c r="CT10" s="127">
        <f t="shared" ca="1" si="6"/>
        <v>0</v>
      </c>
      <c r="CU10" s="127">
        <f t="shared" ca="1" si="6"/>
        <v>0</v>
      </c>
      <c r="CV10" s="127">
        <f t="shared" ca="1" si="6"/>
        <v>0</v>
      </c>
      <c r="CW10" s="127">
        <f t="shared" ca="1" si="6"/>
        <v>0</v>
      </c>
      <c r="CX10" s="127">
        <f t="shared" ca="1" si="6"/>
        <v>53.3</v>
      </c>
      <c r="CY10" s="127">
        <f t="shared" ca="1" si="6"/>
        <v>132</v>
      </c>
      <c r="CZ10" s="127">
        <f t="shared" ca="1" si="6"/>
        <v>212.99999999999997</v>
      </c>
      <c r="DB10" s="127">
        <f t="shared" si="16"/>
        <v>2006</v>
      </c>
      <c r="DC10" s="127">
        <f t="shared" ca="1" si="9"/>
        <v>185</v>
      </c>
      <c r="DD10" s="127">
        <f t="shared" ca="1" si="9"/>
        <v>258.00000000000006</v>
      </c>
      <c r="DE10" s="127">
        <f t="shared" ca="1" si="9"/>
        <v>166.80000000000004</v>
      </c>
      <c r="DF10" s="127">
        <f t="shared" ca="1" si="9"/>
        <v>20.200000000000003</v>
      </c>
      <c r="DG10" s="127">
        <f t="shared" ca="1" si="9"/>
        <v>0</v>
      </c>
      <c r="DH10" s="127">
        <f t="shared" ca="1" si="9"/>
        <v>0</v>
      </c>
      <c r="DI10" s="127">
        <f t="shared" ca="1" si="9"/>
        <v>0</v>
      </c>
      <c r="DJ10" s="127">
        <f t="shared" ca="1" si="9"/>
        <v>0</v>
      </c>
      <c r="DK10" s="127">
        <f t="shared" ca="1" si="9"/>
        <v>0</v>
      </c>
      <c r="DL10" s="127">
        <f t="shared" ca="1" si="9"/>
        <v>26.199999999999996</v>
      </c>
      <c r="DM10" s="127">
        <f t="shared" ca="1" si="9"/>
        <v>89.199999999999989</v>
      </c>
      <c r="DN10" s="127">
        <f t="shared" ca="1" si="9"/>
        <v>153.9</v>
      </c>
    </row>
    <row r="11" spans="1:118" x14ac:dyDescent="0.2">
      <c r="A11" s="127">
        <v>2001</v>
      </c>
      <c r="B11" s="130">
        <v>10</v>
      </c>
      <c r="C11" s="130">
        <v>11.554838709677419</v>
      </c>
      <c r="D11" s="131">
        <v>262.70000000000005</v>
      </c>
      <c r="E11" s="131">
        <v>0.89999999999999858</v>
      </c>
      <c r="F11" s="131">
        <v>202.70000000000002</v>
      </c>
      <c r="G11" s="131">
        <v>2.8999999999999986</v>
      </c>
      <c r="H11" s="131">
        <v>147.19999999999999</v>
      </c>
      <c r="I11" s="131">
        <v>9.3999999999999986</v>
      </c>
      <c r="J11" s="131">
        <v>102.6</v>
      </c>
      <c r="K11" s="131">
        <v>26.799999999999997</v>
      </c>
      <c r="L11" s="131">
        <v>69.400000000000006</v>
      </c>
      <c r="M11" s="131">
        <v>55.600000000000009</v>
      </c>
      <c r="N11" s="131">
        <v>43.3</v>
      </c>
      <c r="O11" s="131">
        <v>91.5</v>
      </c>
      <c r="P11" s="131">
        <v>21.4</v>
      </c>
      <c r="Q11" s="131">
        <v>131.6</v>
      </c>
      <c r="R11" s="131"/>
      <c r="S11" s="131"/>
      <c r="T11" s="131"/>
      <c r="V11" s="127">
        <f t="shared" si="10"/>
        <v>2007</v>
      </c>
      <c r="W11" s="127">
        <f t="shared" ca="1" si="0"/>
        <v>664.40000000000009</v>
      </c>
      <c r="X11" s="127">
        <f t="shared" ca="1" si="1"/>
        <v>762.10000000000014</v>
      </c>
      <c r="Y11" s="127">
        <f t="shared" ca="1" si="1"/>
        <v>491.09999999999991</v>
      </c>
      <c r="Z11" s="127">
        <f t="shared" ca="1" si="1"/>
        <v>344.3</v>
      </c>
      <c r="AA11" s="127">
        <f t="shared" ca="1" si="1"/>
        <v>126.9</v>
      </c>
      <c r="AB11" s="127">
        <f t="shared" ca="1" si="1"/>
        <v>18</v>
      </c>
      <c r="AC11" s="127">
        <f t="shared" ca="1" si="1"/>
        <v>6.8000000000000007</v>
      </c>
      <c r="AD11" s="127">
        <f t="shared" ca="1" si="1"/>
        <v>12.000000000000004</v>
      </c>
      <c r="AE11" s="127">
        <f t="shared" ca="1" si="1"/>
        <v>50.099999999999994</v>
      </c>
      <c r="AF11" s="127">
        <f t="shared" ca="1" si="1"/>
        <v>153.60000000000002</v>
      </c>
      <c r="AG11" s="127">
        <f t="shared" ca="1" si="1"/>
        <v>460.3</v>
      </c>
      <c r="AH11" s="127">
        <f t="shared" ca="1" si="1"/>
        <v>656.99999999999989</v>
      </c>
      <c r="AJ11" s="127">
        <f t="shared" si="11"/>
        <v>2007</v>
      </c>
      <c r="AK11" s="127">
        <f t="shared" ca="1" si="2"/>
        <v>602.4</v>
      </c>
      <c r="AL11" s="127">
        <f t="shared" ca="1" si="2"/>
        <v>706.10000000000014</v>
      </c>
      <c r="AM11" s="127">
        <f t="shared" ca="1" si="2"/>
        <v>429.2999999999999</v>
      </c>
      <c r="AN11" s="127">
        <f t="shared" ca="1" si="2"/>
        <v>285.20000000000005</v>
      </c>
      <c r="AO11" s="127">
        <f t="shared" ca="1" si="2"/>
        <v>87.200000000000017</v>
      </c>
      <c r="AP11" s="127">
        <f t="shared" ca="1" si="2"/>
        <v>8.1</v>
      </c>
      <c r="AQ11" s="127">
        <f t="shared" ca="1" si="2"/>
        <v>1.3000000000000007</v>
      </c>
      <c r="AR11" s="127">
        <f t="shared" ca="1" si="2"/>
        <v>4.4000000000000021</v>
      </c>
      <c r="AS11" s="127">
        <f t="shared" ca="1" si="2"/>
        <v>25.399999999999995</v>
      </c>
      <c r="AT11" s="127">
        <f t="shared" ca="1" si="2"/>
        <v>111.19999999999999</v>
      </c>
      <c r="AU11" s="127">
        <f t="shared" ca="1" si="2"/>
        <v>400.3</v>
      </c>
      <c r="AV11" s="127">
        <f t="shared" ca="1" si="2"/>
        <v>595</v>
      </c>
      <c r="AW11" s="147">
        <f t="shared" ca="1" si="8"/>
        <v>3255.9</v>
      </c>
      <c r="AX11" s="127">
        <f t="shared" si="12"/>
        <v>2007</v>
      </c>
      <c r="AY11" s="127">
        <f t="shared" ca="1" si="3"/>
        <v>540.40000000000009</v>
      </c>
      <c r="AZ11" s="127">
        <f t="shared" ca="1" si="3"/>
        <v>650.1</v>
      </c>
      <c r="BA11" s="127">
        <f t="shared" ca="1" si="3"/>
        <v>370.2999999999999</v>
      </c>
      <c r="BB11" s="127">
        <f t="shared" ca="1" si="3"/>
        <v>229.90000000000003</v>
      </c>
      <c r="BC11" s="127">
        <f t="shared" ca="1" si="3"/>
        <v>54.1</v>
      </c>
      <c r="BD11" s="127">
        <f t="shared" ca="1" si="3"/>
        <v>4.0999999999999996</v>
      </c>
      <c r="BE11" s="127">
        <f t="shared" ca="1" si="3"/>
        <v>0</v>
      </c>
      <c r="BF11" s="127">
        <f t="shared" ca="1" si="3"/>
        <v>0.30000000000000071</v>
      </c>
      <c r="BG11" s="127">
        <f t="shared" ca="1" si="3"/>
        <v>12.299999999999999</v>
      </c>
      <c r="BH11" s="127">
        <f t="shared" ca="1" si="3"/>
        <v>78.899999999999991</v>
      </c>
      <c r="BI11" s="127">
        <f t="shared" ca="1" si="3"/>
        <v>340.3</v>
      </c>
      <c r="BJ11" s="127">
        <f t="shared" ca="1" si="3"/>
        <v>533</v>
      </c>
      <c r="BL11" s="127">
        <f t="shared" si="13"/>
        <v>2007</v>
      </c>
      <c r="BM11" s="127">
        <f t="shared" ca="1" si="4"/>
        <v>478.40000000000003</v>
      </c>
      <c r="BN11" s="127">
        <f t="shared" ca="1" si="4"/>
        <v>594.1</v>
      </c>
      <c r="BO11" s="127">
        <f t="shared" ca="1" si="4"/>
        <v>312.29999999999995</v>
      </c>
      <c r="BP11" s="127">
        <f t="shared" ca="1" si="4"/>
        <v>177.40000000000003</v>
      </c>
      <c r="BQ11" s="127">
        <f t="shared" ca="1" si="4"/>
        <v>25</v>
      </c>
      <c r="BR11" s="127">
        <f t="shared" ca="1" si="4"/>
        <v>9.9999999999999645E-2</v>
      </c>
      <c r="BS11" s="127">
        <f t="shared" ca="1" si="4"/>
        <v>0</v>
      </c>
      <c r="BT11" s="127">
        <f t="shared" ca="1" si="4"/>
        <v>0</v>
      </c>
      <c r="BU11" s="127">
        <f t="shared" ca="1" si="4"/>
        <v>5</v>
      </c>
      <c r="BV11" s="127">
        <f t="shared" ca="1" si="4"/>
        <v>50.899999999999991</v>
      </c>
      <c r="BW11" s="127">
        <f t="shared" ca="1" si="4"/>
        <v>280.29999999999995</v>
      </c>
      <c r="BX11" s="127">
        <f t="shared" ca="1" si="4"/>
        <v>471</v>
      </c>
      <c r="BZ11" s="127">
        <f t="shared" si="14"/>
        <v>2007</v>
      </c>
      <c r="CA11" s="127">
        <f t="shared" ca="1" si="5"/>
        <v>416.40000000000003</v>
      </c>
      <c r="CB11" s="127">
        <f t="shared" ca="1" si="5"/>
        <v>538.1</v>
      </c>
      <c r="CC11" s="127">
        <f t="shared" ca="1" si="5"/>
        <v>256.3</v>
      </c>
      <c r="CD11" s="127">
        <f t="shared" ca="1" si="5"/>
        <v>134.1</v>
      </c>
      <c r="CE11" s="127">
        <f t="shared" ca="1" si="5"/>
        <v>5.6</v>
      </c>
      <c r="CF11" s="127">
        <f t="shared" ca="1" si="5"/>
        <v>0</v>
      </c>
      <c r="CG11" s="127">
        <f t="shared" ca="1" si="5"/>
        <v>0</v>
      </c>
      <c r="CH11" s="127">
        <f t="shared" ca="1" si="5"/>
        <v>0</v>
      </c>
      <c r="CI11" s="127">
        <f t="shared" ca="1" si="5"/>
        <v>0.59999999999999964</v>
      </c>
      <c r="CJ11" s="127">
        <f t="shared" ca="1" si="5"/>
        <v>25</v>
      </c>
      <c r="CK11" s="127">
        <f t="shared" ca="1" si="5"/>
        <v>220.89999999999998</v>
      </c>
      <c r="CL11" s="127">
        <f t="shared" ca="1" si="5"/>
        <v>409</v>
      </c>
      <c r="CN11" s="127">
        <f t="shared" si="15"/>
        <v>2007</v>
      </c>
      <c r="CO11" s="127">
        <f t="shared" ca="1" si="6"/>
        <v>354.40000000000003</v>
      </c>
      <c r="CP11" s="127">
        <f t="shared" ca="1" si="6"/>
        <v>482.1</v>
      </c>
      <c r="CQ11" s="127">
        <f t="shared" ca="1" si="6"/>
        <v>204.2</v>
      </c>
      <c r="CR11" s="127">
        <f t="shared" ca="1" si="6"/>
        <v>99.2</v>
      </c>
      <c r="CS11" s="127">
        <f t="shared" ca="1" si="6"/>
        <v>0.69999999999999929</v>
      </c>
      <c r="CT11" s="127">
        <f t="shared" ca="1" si="6"/>
        <v>0</v>
      </c>
      <c r="CU11" s="127">
        <f t="shared" ca="1" si="6"/>
        <v>0</v>
      </c>
      <c r="CV11" s="127">
        <f t="shared" ca="1" si="6"/>
        <v>0</v>
      </c>
      <c r="CW11" s="127">
        <f t="shared" ca="1" si="6"/>
        <v>0</v>
      </c>
      <c r="CX11" s="127">
        <f t="shared" ca="1" si="6"/>
        <v>7.1000000000000005</v>
      </c>
      <c r="CY11" s="127">
        <f t="shared" ca="1" si="6"/>
        <v>166.70000000000002</v>
      </c>
      <c r="CZ11" s="127">
        <f t="shared" ca="1" si="6"/>
        <v>347</v>
      </c>
      <c r="DB11" s="127">
        <f t="shared" si="16"/>
        <v>2007</v>
      </c>
      <c r="DC11" s="127">
        <f t="shared" ca="1" si="9"/>
        <v>293.8</v>
      </c>
      <c r="DD11" s="127">
        <f t="shared" ca="1" si="9"/>
        <v>426.1</v>
      </c>
      <c r="DE11" s="127">
        <f t="shared" ca="1" si="9"/>
        <v>156.19999999999999</v>
      </c>
      <c r="DF11" s="127">
        <f t="shared" ca="1" si="9"/>
        <v>71.300000000000011</v>
      </c>
      <c r="DG11" s="127">
        <f t="shared" ca="1" si="9"/>
        <v>0</v>
      </c>
      <c r="DH11" s="127">
        <f t="shared" ca="1" si="9"/>
        <v>0</v>
      </c>
      <c r="DI11" s="127">
        <f t="shared" ca="1" si="9"/>
        <v>0</v>
      </c>
      <c r="DJ11" s="127">
        <f t="shared" ca="1" si="9"/>
        <v>0</v>
      </c>
      <c r="DK11" s="127">
        <f t="shared" ca="1" si="9"/>
        <v>0</v>
      </c>
      <c r="DL11" s="127">
        <f t="shared" ca="1" si="9"/>
        <v>0.70000000000000018</v>
      </c>
      <c r="DM11" s="127">
        <f t="shared" ca="1" si="9"/>
        <v>114.49999999999999</v>
      </c>
      <c r="DN11" s="127">
        <f t="shared" ca="1" si="9"/>
        <v>285</v>
      </c>
    </row>
    <row r="12" spans="1:118" x14ac:dyDescent="0.2">
      <c r="A12" s="127">
        <v>2001</v>
      </c>
      <c r="B12" s="130">
        <v>11</v>
      </c>
      <c r="C12" s="130">
        <v>8.67</v>
      </c>
      <c r="D12" s="131">
        <v>339.89999999999986</v>
      </c>
      <c r="E12" s="131">
        <v>0</v>
      </c>
      <c r="F12" s="131">
        <v>279.89999999999998</v>
      </c>
      <c r="G12" s="131">
        <v>0</v>
      </c>
      <c r="H12" s="131">
        <v>219.89999999999998</v>
      </c>
      <c r="I12" s="131">
        <v>0</v>
      </c>
      <c r="J12" s="131">
        <v>160.49999999999997</v>
      </c>
      <c r="K12" s="131">
        <v>0.59999999999999964</v>
      </c>
      <c r="L12" s="131">
        <v>107.70000000000002</v>
      </c>
      <c r="M12" s="131">
        <v>7.7999999999999989</v>
      </c>
      <c r="N12" s="131">
        <v>61.400000000000006</v>
      </c>
      <c r="O12" s="131">
        <v>21.5</v>
      </c>
      <c r="P12" s="131">
        <v>30.1</v>
      </c>
      <c r="Q12" s="131">
        <v>50.2</v>
      </c>
      <c r="R12" s="131"/>
      <c r="S12" s="131"/>
      <c r="T12" s="131"/>
      <c r="V12" s="127">
        <f t="shared" si="10"/>
        <v>2008</v>
      </c>
      <c r="W12" s="127">
        <f t="shared" ca="1" si="0"/>
        <v>673.19999999999993</v>
      </c>
      <c r="X12" s="127">
        <f t="shared" ca="1" si="1"/>
        <v>687.3</v>
      </c>
      <c r="Y12" s="127">
        <f t="shared" ca="1" si="1"/>
        <v>603.6</v>
      </c>
      <c r="Z12" s="127">
        <f t="shared" ca="1" si="1"/>
        <v>282.49999999999989</v>
      </c>
      <c r="AA12" s="127">
        <f t="shared" ca="1" si="1"/>
        <v>199.39999999999998</v>
      </c>
      <c r="AB12" s="127">
        <f t="shared" ca="1" si="1"/>
        <v>15.199999999999996</v>
      </c>
      <c r="AC12" s="127">
        <f t="shared" ca="1" si="1"/>
        <v>4.6000000000000014</v>
      </c>
      <c r="AD12" s="127">
        <f t="shared" ca="1" si="1"/>
        <v>5.9999999999999964</v>
      </c>
      <c r="AE12" s="127">
        <f t="shared" ca="1" si="1"/>
        <v>38.4</v>
      </c>
      <c r="AF12" s="127">
        <f t="shared" ca="1" si="1"/>
        <v>279.39999999999998</v>
      </c>
      <c r="AG12" s="127">
        <f t="shared" ca="1" si="1"/>
        <v>473.4</v>
      </c>
      <c r="AH12" s="127">
        <f t="shared" ca="1" si="1"/>
        <v>694</v>
      </c>
      <c r="AJ12" s="127">
        <f t="shared" si="11"/>
        <v>2008</v>
      </c>
      <c r="AK12" s="127">
        <f t="shared" ca="1" si="2"/>
        <v>611.19999999999993</v>
      </c>
      <c r="AL12" s="127">
        <f t="shared" ca="1" si="2"/>
        <v>629.29999999999995</v>
      </c>
      <c r="AM12" s="127">
        <f t="shared" ca="1" si="2"/>
        <v>541.6</v>
      </c>
      <c r="AN12" s="127">
        <f t="shared" ca="1" si="2"/>
        <v>223.79999999999993</v>
      </c>
      <c r="AO12" s="127">
        <f t="shared" ca="1" si="2"/>
        <v>143.39999999999998</v>
      </c>
      <c r="AP12" s="127">
        <f t="shared" ca="1" si="2"/>
        <v>3.1999999999999993</v>
      </c>
      <c r="AQ12" s="127">
        <f t="shared" ca="1" si="2"/>
        <v>0.30000000000000071</v>
      </c>
      <c r="AR12" s="127">
        <f t="shared" ca="1" si="2"/>
        <v>0.89999999999999858</v>
      </c>
      <c r="AS12" s="127">
        <f t="shared" ca="1" si="2"/>
        <v>12.200000000000001</v>
      </c>
      <c r="AT12" s="127">
        <f t="shared" ca="1" si="2"/>
        <v>220.70000000000002</v>
      </c>
      <c r="AU12" s="127">
        <f t="shared" ca="1" si="2"/>
        <v>413.4</v>
      </c>
      <c r="AV12" s="127">
        <f t="shared" ca="1" si="2"/>
        <v>632</v>
      </c>
      <c r="AW12" s="147">
        <f t="shared" ca="1" si="8"/>
        <v>3431.9999999999995</v>
      </c>
      <c r="AX12" s="127">
        <f t="shared" si="12"/>
        <v>2008</v>
      </c>
      <c r="AY12" s="127">
        <f t="shared" ca="1" si="3"/>
        <v>549.20000000000005</v>
      </c>
      <c r="AZ12" s="127">
        <f t="shared" ca="1" si="3"/>
        <v>571.29999999999984</v>
      </c>
      <c r="BA12" s="127">
        <f t="shared" ca="1" si="3"/>
        <v>479.60000000000008</v>
      </c>
      <c r="BB12" s="127">
        <f t="shared" ca="1" si="3"/>
        <v>168.79999999999993</v>
      </c>
      <c r="BC12" s="127">
        <f t="shared" ca="1" si="3"/>
        <v>88.600000000000009</v>
      </c>
      <c r="BD12" s="127">
        <f t="shared" ca="1" si="3"/>
        <v>0.5</v>
      </c>
      <c r="BE12" s="127">
        <f t="shared" ca="1" si="3"/>
        <v>0</v>
      </c>
      <c r="BF12" s="127">
        <f t="shared" ca="1" si="3"/>
        <v>0</v>
      </c>
      <c r="BG12" s="127">
        <f t="shared" ca="1" si="3"/>
        <v>0.59999999999999964</v>
      </c>
      <c r="BH12" s="127">
        <f t="shared" ca="1" si="3"/>
        <v>164.40000000000003</v>
      </c>
      <c r="BI12" s="127">
        <f t="shared" ca="1" si="3"/>
        <v>353.40000000000003</v>
      </c>
      <c r="BJ12" s="127">
        <f t="shared" ca="1" si="3"/>
        <v>570</v>
      </c>
      <c r="BL12" s="127">
        <f t="shared" si="13"/>
        <v>2008</v>
      </c>
      <c r="BM12" s="127">
        <f t="shared" ca="1" si="4"/>
        <v>487.20000000000005</v>
      </c>
      <c r="BN12" s="127">
        <f t="shared" ca="1" si="4"/>
        <v>513.29999999999995</v>
      </c>
      <c r="BO12" s="127">
        <f t="shared" ca="1" si="4"/>
        <v>417.60000000000008</v>
      </c>
      <c r="BP12" s="127">
        <f t="shared" ca="1" si="4"/>
        <v>124.20000000000002</v>
      </c>
      <c r="BQ12" s="127">
        <f t="shared" ca="1" si="4"/>
        <v>44.400000000000006</v>
      </c>
      <c r="BR12" s="127">
        <f t="shared" ca="1" si="4"/>
        <v>0</v>
      </c>
      <c r="BS12" s="127">
        <f t="shared" ca="1" si="4"/>
        <v>0</v>
      </c>
      <c r="BT12" s="127">
        <f t="shared" ca="1" si="4"/>
        <v>0</v>
      </c>
      <c r="BU12" s="127">
        <f t="shared" ca="1" si="4"/>
        <v>0</v>
      </c>
      <c r="BV12" s="127">
        <f t="shared" ca="1" si="4"/>
        <v>115.8</v>
      </c>
      <c r="BW12" s="127">
        <f t="shared" ca="1" si="4"/>
        <v>295.00000000000006</v>
      </c>
      <c r="BX12" s="127">
        <f t="shared" ca="1" si="4"/>
        <v>507.99999999999994</v>
      </c>
      <c r="BZ12" s="127">
        <f t="shared" si="14"/>
        <v>2008</v>
      </c>
      <c r="CA12" s="127">
        <f t="shared" ca="1" si="5"/>
        <v>427.3</v>
      </c>
      <c r="CB12" s="127">
        <f t="shared" ca="1" si="5"/>
        <v>455.2999999999999</v>
      </c>
      <c r="CC12" s="127">
        <f t="shared" ca="1" si="5"/>
        <v>355.6</v>
      </c>
      <c r="CD12" s="127">
        <f t="shared" ca="1" si="5"/>
        <v>88.9</v>
      </c>
      <c r="CE12" s="127">
        <f t="shared" ca="1" si="5"/>
        <v>12.8</v>
      </c>
      <c r="CF12" s="127">
        <f t="shared" ca="1" si="5"/>
        <v>0</v>
      </c>
      <c r="CG12" s="127">
        <f t="shared" ca="1" si="5"/>
        <v>0</v>
      </c>
      <c r="CH12" s="127">
        <f t="shared" ca="1" si="5"/>
        <v>0</v>
      </c>
      <c r="CI12" s="127">
        <f t="shared" ca="1" si="5"/>
        <v>0</v>
      </c>
      <c r="CJ12" s="127">
        <f t="shared" ca="1" si="5"/>
        <v>72.5</v>
      </c>
      <c r="CK12" s="127">
        <f t="shared" ca="1" si="5"/>
        <v>242.70000000000002</v>
      </c>
      <c r="CL12" s="127">
        <f t="shared" ca="1" si="5"/>
        <v>445.99999999999989</v>
      </c>
      <c r="CN12" s="127">
        <f t="shared" si="15"/>
        <v>2008</v>
      </c>
      <c r="CO12" s="127">
        <f t="shared" ca="1" si="6"/>
        <v>369.30000000000007</v>
      </c>
      <c r="CP12" s="127">
        <f t="shared" ca="1" si="6"/>
        <v>397.2999999999999</v>
      </c>
      <c r="CQ12" s="127">
        <f t="shared" ca="1" si="6"/>
        <v>294.40000000000003</v>
      </c>
      <c r="CR12" s="127">
        <f t="shared" ca="1" si="6"/>
        <v>59.400000000000006</v>
      </c>
      <c r="CS12" s="127">
        <f t="shared" ca="1" si="6"/>
        <v>1.0999999999999996</v>
      </c>
      <c r="CT12" s="127">
        <f t="shared" ca="1" si="6"/>
        <v>0</v>
      </c>
      <c r="CU12" s="127">
        <f t="shared" ca="1" si="6"/>
        <v>0</v>
      </c>
      <c r="CV12" s="127">
        <f t="shared" ca="1" si="6"/>
        <v>0</v>
      </c>
      <c r="CW12" s="127">
        <f t="shared" ca="1" si="6"/>
        <v>0</v>
      </c>
      <c r="CX12" s="127">
        <f t="shared" ca="1" si="6"/>
        <v>37.499999999999993</v>
      </c>
      <c r="CY12" s="127">
        <f t="shared" ca="1" si="6"/>
        <v>193.4</v>
      </c>
      <c r="CZ12" s="127">
        <f t="shared" ca="1" si="6"/>
        <v>384.7999999999999</v>
      </c>
      <c r="DB12" s="127">
        <f t="shared" si="16"/>
        <v>2008</v>
      </c>
      <c r="DC12" s="127">
        <f t="shared" ca="1" si="9"/>
        <v>311.3</v>
      </c>
      <c r="DD12" s="127">
        <f t="shared" ca="1" si="9"/>
        <v>339.29999999999995</v>
      </c>
      <c r="DE12" s="127">
        <f t="shared" ca="1" si="9"/>
        <v>234.4</v>
      </c>
      <c r="DF12" s="127">
        <f t="shared" ca="1" si="9"/>
        <v>31.399999999999995</v>
      </c>
      <c r="DG12" s="127">
        <f t="shared" ca="1" si="9"/>
        <v>0</v>
      </c>
      <c r="DH12" s="127">
        <f t="shared" ca="1" si="9"/>
        <v>0</v>
      </c>
      <c r="DI12" s="127">
        <f t="shared" ca="1" si="9"/>
        <v>0</v>
      </c>
      <c r="DJ12" s="127">
        <f t="shared" ca="1" si="9"/>
        <v>0</v>
      </c>
      <c r="DK12" s="127">
        <f t="shared" ca="1" si="9"/>
        <v>0</v>
      </c>
      <c r="DL12" s="127">
        <f t="shared" ca="1" si="9"/>
        <v>18.7</v>
      </c>
      <c r="DM12" s="127">
        <f t="shared" ca="1" si="9"/>
        <v>147.9</v>
      </c>
      <c r="DN12" s="127">
        <f t="shared" ca="1" si="9"/>
        <v>324.79999999999995</v>
      </c>
    </row>
    <row r="13" spans="1:118" x14ac:dyDescent="0.2">
      <c r="A13" s="127">
        <v>2001</v>
      </c>
      <c r="B13" s="130">
        <v>12</v>
      </c>
      <c r="C13" s="130">
        <v>2.141935483870967</v>
      </c>
      <c r="D13" s="131">
        <v>553.6</v>
      </c>
      <c r="E13" s="131">
        <v>0</v>
      </c>
      <c r="F13" s="131">
        <v>491.6</v>
      </c>
      <c r="G13" s="131">
        <v>0</v>
      </c>
      <c r="H13" s="131">
        <v>429.6</v>
      </c>
      <c r="I13" s="131">
        <v>0</v>
      </c>
      <c r="J13" s="131">
        <v>368.3</v>
      </c>
      <c r="K13" s="131">
        <v>0.69999999999999929</v>
      </c>
      <c r="L13" s="131">
        <v>308.3</v>
      </c>
      <c r="M13" s="131">
        <v>2.6999999999999993</v>
      </c>
      <c r="N13" s="131">
        <v>249.00000000000003</v>
      </c>
      <c r="O13" s="131">
        <v>5.3999999999999986</v>
      </c>
      <c r="P13" s="131">
        <v>195</v>
      </c>
      <c r="Q13" s="131">
        <v>13.399999999999999</v>
      </c>
      <c r="R13" s="131"/>
      <c r="S13" s="131"/>
      <c r="T13" s="131"/>
      <c r="V13" s="127">
        <f t="shared" si="10"/>
        <v>2009</v>
      </c>
      <c r="W13" s="127">
        <f t="shared" ca="1" si="0"/>
        <v>861.0999999999998</v>
      </c>
      <c r="X13" s="127">
        <f t="shared" ca="1" si="1"/>
        <v>608.89999999999986</v>
      </c>
      <c r="Y13" s="127">
        <f t="shared" ca="1" si="1"/>
        <v>525.80000000000018</v>
      </c>
      <c r="Z13" s="127">
        <f t="shared" ca="1" si="1"/>
        <v>316.7</v>
      </c>
      <c r="AA13" s="127">
        <f t="shared" ca="1" si="1"/>
        <v>128.29999999999998</v>
      </c>
      <c r="AB13" s="127">
        <f t="shared" ca="1" si="1"/>
        <v>53.000000000000007</v>
      </c>
      <c r="AC13" s="127">
        <f t="shared" ca="1" si="1"/>
        <v>13.8</v>
      </c>
      <c r="AD13" s="127">
        <f t="shared" ca="1" si="1"/>
        <v>21</v>
      </c>
      <c r="AE13" s="127">
        <f t="shared" ca="1" si="1"/>
        <v>59.800000000000004</v>
      </c>
      <c r="AF13" s="127">
        <f t="shared" ca="1" si="1"/>
        <v>309.59999999999991</v>
      </c>
      <c r="AG13" s="127">
        <f t="shared" ca="1" si="1"/>
        <v>380.49999999999989</v>
      </c>
      <c r="AH13" s="127">
        <f t="shared" ca="1" si="1"/>
        <v>665.4</v>
      </c>
      <c r="AJ13" s="127">
        <f t="shared" si="11"/>
        <v>2009</v>
      </c>
      <c r="AK13" s="127">
        <f t="shared" ca="1" si="2"/>
        <v>799.0999999999998</v>
      </c>
      <c r="AL13" s="127">
        <f t="shared" ca="1" si="2"/>
        <v>552.9</v>
      </c>
      <c r="AM13" s="127">
        <f t="shared" ca="1" si="2"/>
        <v>463.80000000000007</v>
      </c>
      <c r="AN13" s="127">
        <f t="shared" ca="1" si="2"/>
        <v>263.39999999999992</v>
      </c>
      <c r="AO13" s="127">
        <f t="shared" ca="1" si="2"/>
        <v>75.8</v>
      </c>
      <c r="AP13" s="127">
        <f t="shared" ca="1" si="2"/>
        <v>25.300000000000004</v>
      </c>
      <c r="AQ13" s="127">
        <f t="shared" ca="1" si="2"/>
        <v>1.4000000000000021</v>
      </c>
      <c r="AR13" s="127">
        <f t="shared" ca="1" si="2"/>
        <v>6.6999999999999993</v>
      </c>
      <c r="AS13" s="127">
        <f t="shared" ca="1" si="2"/>
        <v>28</v>
      </c>
      <c r="AT13" s="127">
        <f t="shared" ca="1" si="2"/>
        <v>247.60000000000002</v>
      </c>
      <c r="AU13" s="127">
        <f t="shared" ca="1" si="2"/>
        <v>320.49999999999994</v>
      </c>
      <c r="AV13" s="127">
        <f t="shared" ca="1" si="2"/>
        <v>603.4</v>
      </c>
      <c r="AW13" s="147">
        <f t="shared" ca="1" si="8"/>
        <v>3387.9</v>
      </c>
      <c r="AX13" s="127">
        <f t="shared" si="12"/>
        <v>2009</v>
      </c>
      <c r="AY13" s="127">
        <f t="shared" ca="1" si="3"/>
        <v>737.0999999999998</v>
      </c>
      <c r="AZ13" s="127">
        <f t="shared" ca="1" si="3"/>
        <v>496.90000000000003</v>
      </c>
      <c r="BA13" s="127">
        <f t="shared" ca="1" si="3"/>
        <v>401.8</v>
      </c>
      <c r="BB13" s="127">
        <f t="shared" ca="1" si="3"/>
        <v>212.2</v>
      </c>
      <c r="BC13" s="127">
        <f t="shared" ca="1" si="3"/>
        <v>35.9</v>
      </c>
      <c r="BD13" s="127">
        <f t="shared" ca="1" si="3"/>
        <v>10.5</v>
      </c>
      <c r="BE13" s="127">
        <f t="shared" ca="1" si="3"/>
        <v>0</v>
      </c>
      <c r="BF13" s="127">
        <f t="shared" ca="1" si="3"/>
        <v>1.1999999999999993</v>
      </c>
      <c r="BG13" s="127">
        <f t="shared" ca="1" si="3"/>
        <v>12.899999999999999</v>
      </c>
      <c r="BH13" s="127">
        <f t="shared" ca="1" si="3"/>
        <v>186.3</v>
      </c>
      <c r="BI13" s="127">
        <f t="shared" ca="1" si="3"/>
        <v>260.5</v>
      </c>
      <c r="BJ13" s="127">
        <f t="shared" ca="1" si="3"/>
        <v>541.4</v>
      </c>
      <c r="BL13" s="127">
        <f t="shared" si="13"/>
        <v>2009</v>
      </c>
      <c r="BM13" s="127">
        <f t="shared" ca="1" si="4"/>
        <v>675.0999999999998</v>
      </c>
      <c r="BN13" s="127">
        <f t="shared" ca="1" si="4"/>
        <v>440.9</v>
      </c>
      <c r="BO13" s="127">
        <f t="shared" ca="1" si="4"/>
        <v>339.8</v>
      </c>
      <c r="BP13" s="127">
        <f t="shared" ca="1" si="4"/>
        <v>162.99999999999997</v>
      </c>
      <c r="BQ13" s="127">
        <f t="shared" ca="1" si="4"/>
        <v>11.099999999999998</v>
      </c>
      <c r="BR13" s="127">
        <f t="shared" ca="1" si="4"/>
        <v>3.6999999999999993</v>
      </c>
      <c r="BS13" s="127">
        <f t="shared" ca="1" si="4"/>
        <v>0</v>
      </c>
      <c r="BT13" s="127">
        <f t="shared" ca="1" si="4"/>
        <v>0</v>
      </c>
      <c r="BU13" s="127">
        <f t="shared" ca="1" si="4"/>
        <v>5.6999999999999993</v>
      </c>
      <c r="BV13" s="127">
        <f t="shared" ca="1" si="4"/>
        <v>128.30000000000001</v>
      </c>
      <c r="BW13" s="127">
        <f t="shared" ca="1" si="4"/>
        <v>200.9</v>
      </c>
      <c r="BX13" s="127">
        <f t="shared" ca="1" si="4"/>
        <v>479.4</v>
      </c>
      <c r="BZ13" s="127">
        <f t="shared" si="14"/>
        <v>2009</v>
      </c>
      <c r="CA13" s="127">
        <f t="shared" ca="1" si="5"/>
        <v>613.09999999999991</v>
      </c>
      <c r="CB13" s="127">
        <f t="shared" ca="1" si="5"/>
        <v>384.90000000000003</v>
      </c>
      <c r="CC13" s="127">
        <f t="shared" ca="1" si="5"/>
        <v>277.7999999999999</v>
      </c>
      <c r="CD13" s="127">
        <f t="shared" ca="1" si="5"/>
        <v>116.5</v>
      </c>
      <c r="CE13" s="127">
        <f t="shared" ca="1" si="5"/>
        <v>1.7999999999999989</v>
      </c>
      <c r="CF13" s="127">
        <f t="shared" ca="1" si="5"/>
        <v>0</v>
      </c>
      <c r="CG13" s="127">
        <f t="shared" ca="1" si="5"/>
        <v>0</v>
      </c>
      <c r="CH13" s="127">
        <f t="shared" ca="1" si="5"/>
        <v>0</v>
      </c>
      <c r="CI13" s="127">
        <f t="shared" ca="1" si="5"/>
        <v>2.0999999999999996</v>
      </c>
      <c r="CJ13" s="127">
        <f t="shared" ca="1" si="5"/>
        <v>74.700000000000017</v>
      </c>
      <c r="CK13" s="127">
        <f t="shared" ca="1" si="5"/>
        <v>144.40000000000003</v>
      </c>
      <c r="CL13" s="127">
        <f t="shared" ca="1" si="5"/>
        <v>417.4</v>
      </c>
      <c r="CN13" s="127">
        <f t="shared" si="15"/>
        <v>2009</v>
      </c>
      <c r="CO13" s="127">
        <f t="shared" ca="1" si="6"/>
        <v>551.1</v>
      </c>
      <c r="CP13" s="127">
        <f t="shared" ca="1" si="6"/>
        <v>328.9</v>
      </c>
      <c r="CQ13" s="127">
        <f t="shared" ca="1" si="6"/>
        <v>217.69999999999993</v>
      </c>
      <c r="CR13" s="127">
        <f t="shared" ca="1" si="6"/>
        <v>74.499999999999986</v>
      </c>
      <c r="CS13" s="127">
        <f t="shared" ca="1" si="6"/>
        <v>0</v>
      </c>
      <c r="CT13" s="127">
        <f t="shared" ca="1" si="6"/>
        <v>0</v>
      </c>
      <c r="CU13" s="127">
        <f t="shared" ca="1" si="6"/>
        <v>0</v>
      </c>
      <c r="CV13" s="127">
        <f t="shared" ca="1" si="6"/>
        <v>0</v>
      </c>
      <c r="CW13" s="127">
        <f t="shared" ca="1" si="6"/>
        <v>9.9999999999999645E-2</v>
      </c>
      <c r="CX13" s="127">
        <f t="shared" ca="1" si="6"/>
        <v>39.400000000000006</v>
      </c>
      <c r="CY13" s="127">
        <f t="shared" ca="1" si="6"/>
        <v>90.90000000000002</v>
      </c>
      <c r="CZ13" s="127">
        <f t="shared" ca="1" si="6"/>
        <v>355.4</v>
      </c>
      <c r="DB13" s="127">
        <f t="shared" si="16"/>
        <v>2009</v>
      </c>
      <c r="DC13" s="127">
        <f t="shared" ca="1" si="9"/>
        <v>489.09999999999997</v>
      </c>
      <c r="DD13" s="127">
        <f t="shared" ca="1" si="9"/>
        <v>274.60000000000002</v>
      </c>
      <c r="DE13" s="127">
        <f t="shared" ca="1" si="9"/>
        <v>162.39999999999998</v>
      </c>
      <c r="DF13" s="127">
        <f t="shared" ca="1" si="9"/>
        <v>39.900000000000006</v>
      </c>
      <c r="DG13" s="127">
        <f t="shared" ca="1" si="9"/>
        <v>0</v>
      </c>
      <c r="DH13" s="127">
        <f t="shared" ca="1" si="9"/>
        <v>0</v>
      </c>
      <c r="DI13" s="127">
        <f t="shared" ca="1" si="9"/>
        <v>0</v>
      </c>
      <c r="DJ13" s="127">
        <f t="shared" ca="1" si="9"/>
        <v>0</v>
      </c>
      <c r="DK13" s="127">
        <f t="shared" ca="1" si="9"/>
        <v>0</v>
      </c>
      <c r="DL13" s="127">
        <f t="shared" ca="1" si="9"/>
        <v>19.899999999999999</v>
      </c>
      <c r="DM13" s="127">
        <f t="shared" ca="1" si="9"/>
        <v>46.599999999999987</v>
      </c>
      <c r="DN13" s="127">
        <f t="shared" ca="1" si="9"/>
        <v>293.39999999999998</v>
      </c>
    </row>
    <row r="14" spans="1:118" x14ac:dyDescent="0.2">
      <c r="A14" s="127">
        <v>2002</v>
      </c>
      <c r="B14" s="130">
        <v>1</v>
      </c>
      <c r="C14" s="130">
        <v>0.40967741935483881</v>
      </c>
      <c r="D14" s="131">
        <v>607.30000000000007</v>
      </c>
      <c r="E14" s="131">
        <v>0</v>
      </c>
      <c r="F14" s="131">
        <v>545.29999999999995</v>
      </c>
      <c r="G14" s="131">
        <v>0</v>
      </c>
      <c r="H14" s="131">
        <v>483.2999999999999</v>
      </c>
      <c r="I14" s="131">
        <v>0</v>
      </c>
      <c r="J14" s="131">
        <v>421.2999999999999</v>
      </c>
      <c r="K14" s="131">
        <v>0</v>
      </c>
      <c r="L14" s="131">
        <v>359.29999999999995</v>
      </c>
      <c r="M14" s="131">
        <v>0</v>
      </c>
      <c r="N14" s="131">
        <v>297.29999999999995</v>
      </c>
      <c r="O14" s="131">
        <v>0</v>
      </c>
      <c r="P14" s="131">
        <v>235.29999999999998</v>
      </c>
      <c r="Q14" s="131">
        <v>0</v>
      </c>
      <c r="R14" s="131"/>
      <c r="S14" s="131"/>
      <c r="T14" s="131"/>
      <c r="V14" s="127">
        <f t="shared" si="10"/>
        <v>2010</v>
      </c>
      <c r="W14" s="127">
        <f t="shared" ca="1" si="0"/>
        <v>741.69999999999993</v>
      </c>
      <c r="X14" s="127">
        <f t="shared" ca="1" si="1"/>
        <v>626.9</v>
      </c>
      <c r="Y14" s="127">
        <f t="shared" ca="1" si="1"/>
        <v>459.10000000000008</v>
      </c>
      <c r="Z14" s="127">
        <f t="shared" ca="1" si="1"/>
        <v>242</v>
      </c>
      <c r="AA14" s="127">
        <f t="shared" ca="1" si="1"/>
        <v>125.70000000000002</v>
      </c>
      <c r="AB14" s="127">
        <f t="shared" ca="1" si="1"/>
        <v>14.700000000000003</v>
      </c>
      <c r="AC14" s="127">
        <f t="shared" ca="1" si="1"/>
        <v>2.7000000000000028</v>
      </c>
      <c r="AD14" s="127">
        <f t="shared" ca="1" si="1"/>
        <v>3</v>
      </c>
      <c r="AE14" s="127">
        <f t="shared" ca="1" si="1"/>
        <v>81.7</v>
      </c>
      <c r="AF14" s="127">
        <f t="shared" ca="1" si="1"/>
        <v>226.39999999999995</v>
      </c>
      <c r="AG14" s="127">
        <f t="shared" ca="1" si="1"/>
        <v>437.69999999999987</v>
      </c>
      <c r="AH14" s="127">
        <f t="shared" ca="1" si="1"/>
        <v>726.3</v>
      </c>
      <c r="AJ14" s="127">
        <f t="shared" si="11"/>
        <v>2010</v>
      </c>
      <c r="AK14" s="127">
        <f t="shared" ca="1" si="2"/>
        <v>679.7</v>
      </c>
      <c r="AL14" s="127">
        <f t="shared" ca="1" si="2"/>
        <v>570.89999999999986</v>
      </c>
      <c r="AM14" s="127">
        <f t="shared" ca="1" si="2"/>
        <v>397.1</v>
      </c>
      <c r="AN14" s="127">
        <f t="shared" ca="1" si="2"/>
        <v>183.4</v>
      </c>
      <c r="AO14" s="127">
        <f t="shared" ca="1" si="2"/>
        <v>91.9</v>
      </c>
      <c r="AP14" s="127">
        <f t="shared" ca="1" si="2"/>
        <v>5.7000000000000028</v>
      </c>
      <c r="AQ14" s="127">
        <f t="shared" ca="1" si="2"/>
        <v>0.10000000000000142</v>
      </c>
      <c r="AR14" s="127">
        <f t="shared" ca="1" si="2"/>
        <v>0</v>
      </c>
      <c r="AS14" s="127">
        <f t="shared" ca="1" si="2"/>
        <v>42.900000000000006</v>
      </c>
      <c r="AT14" s="127">
        <f t="shared" ca="1" si="2"/>
        <v>165.7</v>
      </c>
      <c r="AU14" s="127">
        <f t="shared" ca="1" si="2"/>
        <v>377.69999999999987</v>
      </c>
      <c r="AV14" s="127">
        <f t="shared" ca="1" si="2"/>
        <v>664.29999999999984</v>
      </c>
      <c r="AW14" s="147">
        <f t="shared" ca="1" si="8"/>
        <v>3179.3999999999996</v>
      </c>
      <c r="AX14" s="127">
        <f t="shared" si="12"/>
        <v>2010</v>
      </c>
      <c r="AY14" s="127">
        <f t="shared" ca="1" si="3"/>
        <v>617.70000000000005</v>
      </c>
      <c r="AZ14" s="127">
        <f t="shared" ca="1" si="3"/>
        <v>514.9</v>
      </c>
      <c r="BA14" s="127">
        <f t="shared" ca="1" si="3"/>
        <v>335.1</v>
      </c>
      <c r="BB14" s="127">
        <f t="shared" ca="1" si="3"/>
        <v>135.59999999999997</v>
      </c>
      <c r="BC14" s="127">
        <f t="shared" ca="1" si="3"/>
        <v>63.699999999999996</v>
      </c>
      <c r="BD14" s="127">
        <f t="shared" ca="1" si="3"/>
        <v>0.5</v>
      </c>
      <c r="BE14" s="127">
        <f t="shared" ca="1" si="3"/>
        <v>0</v>
      </c>
      <c r="BF14" s="127">
        <f t="shared" ca="1" si="3"/>
        <v>0</v>
      </c>
      <c r="BG14" s="127">
        <f t="shared" ca="1" si="3"/>
        <v>14</v>
      </c>
      <c r="BH14" s="127">
        <f t="shared" ca="1" si="3"/>
        <v>112.2</v>
      </c>
      <c r="BI14" s="127">
        <f t="shared" ca="1" si="3"/>
        <v>317.7</v>
      </c>
      <c r="BJ14" s="127">
        <f t="shared" ca="1" si="3"/>
        <v>602.29999999999995</v>
      </c>
      <c r="BL14" s="127">
        <f t="shared" si="13"/>
        <v>2010</v>
      </c>
      <c r="BM14" s="127">
        <f t="shared" ca="1" si="4"/>
        <v>555.70000000000005</v>
      </c>
      <c r="BN14" s="127">
        <f t="shared" ca="1" si="4"/>
        <v>458.9</v>
      </c>
      <c r="BO14" s="127">
        <f t="shared" ca="1" si="4"/>
        <v>273.09999999999997</v>
      </c>
      <c r="BP14" s="127">
        <f t="shared" ca="1" si="4"/>
        <v>91.6</v>
      </c>
      <c r="BQ14" s="127">
        <f t="shared" ca="1" si="4"/>
        <v>39.299999999999997</v>
      </c>
      <c r="BR14" s="127">
        <f t="shared" ca="1" si="4"/>
        <v>0</v>
      </c>
      <c r="BS14" s="127">
        <f t="shared" ca="1" si="4"/>
        <v>0</v>
      </c>
      <c r="BT14" s="127">
        <f t="shared" ca="1" si="4"/>
        <v>0</v>
      </c>
      <c r="BU14" s="127">
        <f t="shared" ca="1" si="4"/>
        <v>3.5</v>
      </c>
      <c r="BV14" s="127">
        <f t="shared" ca="1" si="4"/>
        <v>67.399999999999991</v>
      </c>
      <c r="BW14" s="127">
        <f t="shared" ca="1" si="4"/>
        <v>258.3</v>
      </c>
      <c r="BX14" s="127">
        <f t="shared" ca="1" si="4"/>
        <v>540.29999999999995</v>
      </c>
      <c r="BZ14" s="127">
        <f t="shared" si="14"/>
        <v>2010</v>
      </c>
      <c r="CA14" s="127">
        <f t="shared" ca="1" si="5"/>
        <v>493.7</v>
      </c>
      <c r="CB14" s="127">
        <f t="shared" ca="1" si="5"/>
        <v>402.89999999999992</v>
      </c>
      <c r="CC14" s="127">
        <f t="shared" ca="1" si="5"/>
        <v>211.30000000000004</v>
      </c>
      <c r="CD14" s="127">
        <f t="shared" ca="1" si="5"/>
        <v>51.2</v>
      </c>
      <c r="CE14" s="127">
        <f t="shared" ca="1" si="5"/>
        <v>21.9</v>
      </c>
      <c r="CF14" s="127">
        <f t="shared" ca="1" si="5"/>
        <v>0</v>
      </c>
      <c r="CG14" s="127">
        <f t="shared" ca="1" si="5"/>
        <v>0</v>
      </c>
      <c r="CH14" s="127">
        <f t="shared" ca="1" si="5"/>
        <v>0</v>
      </c>
      <c r="CI14" s="127">
        <f t="shared" ca="1" si="5"/>
        <v>9.9999999999999645E-2</v>
      </c>
      <c r="CJ14" s="127">
        <f t="shared" ca="1" si="5"/>
        <v>32</v>
      </c>
      <c r="CK14" s="127">
        <f t="shared" ca="1" si="5"/>
        <v>200.30000000000004</v>
      </c>
      <c r="CL14" s="127">
        <f t="shared" ca="1" si="5"/>
        <v>478.29999999999995</v>
      </c>
      <c r="CN14" s="127">
        <f t="shared" si="15"/>
        <v>2010</v>
      </c>
      <c r="CO14" s="127">
        <f t="shared" ca="1" si="6"/>
        <v>431.70000000000005</v>
      </c>
      <c r="CP14" s="127">
        <f t="shared" ca="1" si="6"/>
        <v>346.9</v>
      </c>
      <c r="CQ14" s="127">
        <f t="shared" ca="1" si="6"/>
        <v>154.19999999999999</v>
      </c>
      <c r="CR14" s="127">
        <f t="shared" ca="1" si="6"/>
        <v>22.500000000000007</v>
      </c>
      <c r="CS14" s="127">
        <f t="shared" ca="1" si="6"/>
        <v>10.900000000000002</v>
      </c>
      <c r="CT14" s="127">
        <f t="shared" ca="1" si="6"/>
        <v>0</v>
      </c>
      <c r="CU14" s="127">
        <f t="shared" ca="1" si="6"/>
        <v>0</v>
      </c>
      <c r="CV14" s="127">
        <f t="shared" ca="1" si="6"/>
        <v>0</v>
      </c>
      <c r="CW14" s="127">
        <f t="shared" ca="1" si="6"/>
        <v>0</v>
      </c>
      <c r="CX14" s="127">
        <f t="shared" ca="1" si="6"/>
        <v>11.099999999999996</v>
      </c>
      <c r="CY14" s="127">
        <f t="shared" ca="1" si="6"/>
        <v>142.30000000000004</v>
      </c>
      <c r="CZ14" s="127">
        <f t="shared" ca="1" si="6"/>
        <v>416.3</v>
      </c>
      <c r="DB14" s="127">
        <f t="shared" si="16"/>
        <v>2010</v>
      </c>
      <c r="DC14" s="127">
        <f t="shared" ca="1" si="9"/>
        <v>369.70000000000005</v>
      </c>
      <c r="DD14" s="127">
        <f t="shared" ca="1" si="9"/>
        <v>290.90000000000003</v>
      </c>
      <c r="DE14" s="127">
        <f t="shared" ca="1" si="9"/>
        <v>103.89999999999996</v>
      </c>
      <c r="DF14" s="127">
        <f t="shared" ca="1" si="9"/>
        <v>7.1999999999999993</v>
      </c>
      <c r="DG14" s="127">
        <f t="shared" ca="1" si="9"/>
        <v>1.1000000000000005</v>
      </c>
      <c r="DH14" s="127">
        <f t="shared" ca="1" si="9"/>
        <v>0</v>
      </c>
      <c r="DI14" s="127">
        <f t="shared" ca="1" si="9"/>
        <v>0</v>
      </c>
      <c r="DJ14" s="127">
        <f t="shared" ca="1" si="9"/>
        <v>0</v>
      </c>
      <c r="DK14" s="127">
        <f t="shared" ca="1" si="9"/>
        <v>0</v>
      </c>
      <c r="DL14" s="127">
        <f t="shared" ca="1" si="9"/>
        <v>2.5999999999999996</v>
      </c>
      <c r="DM14" s="127">
        <f t="shared" ca="1" si="9"/>
        <v>87.800000000000011</v>
      </c>
      <c r="DN14" s="127">
        <f t="shared" ca="1" si="9"/>
        <v>354.3</v>
      </c>
    </row>
    <row r="15" spans="1:118" x14ac:dyDescent="0.2">
      <c r="A15" s="127">
        <v>2002</v>
      </c>
      <c r="B15" s="130">
        <v>2</v>
      </c>
      <c r="C15" s="130">
        <v>0.32857142857142846</v>
      </c>
      <c r="D15" s="131">
        <v>550.80000000000007</v>
      </c>
      <c r="E15" s="131">
        <v>0</v>
      </c>
      <c r="F15" s="131">
        <v>494.80000000000007</v>
      </c>
      <c r="G15" s="131">
        <v>0</v>
      </c>
      <c r="H15" s="131">
        <v>438.80000000000007</v>
      </c>
      <c r="I15" s="131">
        <v>0</v>
      </c>
      <c r="J15" s="131">
        <v>382.80000000000013</v>
      </c>
      <c r="K15" s="131">
        <v>0</v>
      </c>
      <c r="L15" s="131">
        <v>326.80000000000007</v>
      </c>
      <c r="M15" s="131">
        <v>0</v>
      </c>
      <c r="N15" s="131">
        <v>270.80000000000013</v>
      </c>
      <c r="O15" s="131">
        <v>0</v>
      </c>
      <c r="P15" s="131">
        <v>214.90000000000006</v>
      </c>
      <c r="Q15" s="131">
        <v>9.9999999999999645E-2</v>
      </c>
      <c r="R15" s="131"/>
      <c r="S15" s="131"/>
      <c r="T15" s="131"/>
      <c r="V15" s="127">
        <f t="shared" si="10"/>
        <v>2011</v>
      </c>
      <c r="W15" s="127">
        <f t="shared" ca="1" si="0"/>
        <v>792.89999999999986</v>
      </c>
      <c r="X15" s="127">
        <f t="shared" ca="1" si="1"/>
        <v>670.6</v>
      </c>
      <c r="Y15" s="127">
        <f t="shared" ca="1" si="1"/>
        <v>582.1</v>
      </c>
      <c r="Z15" s="127">
        <f t="shared" ca="1" si="1"/>
        <v>353.79999999999995</v>
      </c>
      <c r="AA15" s="127">
        <f t="shared" ca="1" si="1"/>
        <v>159.70000000000002</v>
      </c>
      <c r="AB15" s="127">
        <f t="shared" ca="1" si="1"/>
        <v>24.399999999999995</v>
      </c>
      <c r="AC15" s="127">
        <f t="shared" ca="1" si="1"/>
        <v>0</v>
      </c>
      <c r="AD15" s="127">
        <f t="shared" ca="1" si="1"/>
        <v>0.90000000000000213</v>
      </c>
      <c r="AE15" s="127">
        <f t="shared" ca="1" si="1"/>
        <v>100.2</v>
      </c>
      <c r="AF15" s="127">
        <f t="shared" ca="1" si="1"/>
        <v>246.9</v>
      </c>
      <c r="AG15" s="127">
        <f t="shared" ca="1" si="1"/>
        <v>374.09999999999985</v>
      </c>
      <c r="AH15" s="127">
        <f t="shared" ca="1" si="1"/>
        <v>557.60000000000014</v>
      </c>
      <c r="AJ15" s="127">
        <f t="shared" si="11"/>
        <v>2011</v>
      </c>
      <c r="AK15" s="127">
        <f t="shared" ref="AK15:AV24" ca="1" si="17">OFFSET($F$2,(ROW()-5)*12+COLUMN()-37,0)</f>
        <v>730.89999999999986</v>
      </c>
      <c r="AL15" s="127">
        <f t="shared" ca="1" si="17"/>
        <v>614.6</v>
      </c>
      <c r="AM15" s="127">
        <f t="shared" ca="1" si="17"/>
        <v>520.09999999999991</v>
      </c>
      <c r="AN15" s="127">
        <f t="shared" ca="1" si="17"/>
        <v>293.8</v>
      </c>
      <c r="AO15" s="127">
        <f t="shared" ca="1" si="17"/>
        <v>112.29999999999998</v>
      </c>
      <c r="AP15" s="127">
        <f t="shared" ca="1" si="17"/>
        <v>10.099999999999994</v>
      </c>
      <c r="AQ15" s="127">
        <f t="shared" ca="1" si="17"/>
        <v>0</v>
      </c>
      <c r="AR15" s="127">
        <f t="shared" ca="1" si="17"/>
        <v>0</v>
      </c>
      <c r="AS15" s="127">
        <f t="shared" ca="1" si="17"/>
        <v>59.3</v>
      </c>
      <c r="AT15" s="127">
        <f t="shared" ca="1" si="17"/>
        <v>189.50000000000003</v>
      </c>
      <c r="AU15" s="127">
        <f t="shared" ca="1" si="17"/>
        <v>314.09999999999991</v>
      </c>
      <c r="AV15" s="127">
        <f t="shared" ca="1" si="17"/>
        <v>495.60000000000014</v>
      </c>
      <c r="AW15" s="147">
        <f t="shared" ca="1" si="8"/>
        <v>3340.3</v>
      </c>
      <c r="AX15" s="127">
        <f t="shared" si="12"/>
        <v>2011</v>
      </c>
      <c r="AY15" s="127">
        <f t="shared" ref="AY15:BJ24" ca="1" si="18">OFFSET($H$2,(ROW()-5)*12+COLUMN()-51,0)</f>
        <v>668.9</v>
      </c>
      <c r="AZ15" s="127">
        <f t="shared" ca="1" si="18"/>
        <v>558.59999999999991</v>
      </c>
      <c r="BA15" s="127">
        <f t="shared" ca="1" si="18"/>
        <v>458.09999999999991</v>
      </c>
      <c r="BB15" s="127">
        <f t="shared" ca="1" si="18"/>
        <v>235.50000000000003</v>
      </c>
      <c r="BC15" s="127">
        <f t="shared" ca="1" si="18"/>
        <v>70.399999999999991</v>
      </c>
      <c r="BD15" s="127">
        <f t="shared" ca="1" si="18"/>
        <v>1</v>
      </c>
      <c r="BE15" s="127">
        <f t="shared" ca="1" si="18"/>
        <v>0</v>
      </c>
      <c r="BF15" s="127">
        <f t="shared" ca="1" si="18"/>
        <v>0</v>
      </c>
      <c r="BG15" s="127">
        <f t="shared" ca="1" si="18"/>
        <v>28.200000000000003</v>
      </c>
      <c r="BH15" s="127">
        <f t="shared" ca="1" si="18"/>
        <v>138.80000000000001</v>
      </c>
      <c r="BI15" s="127">
        <f t="shared" ca="1" si="18"/>
        <v>254.1</v>
      </c>
      <c r="BJ15" s="127">
        <f t="shared" ca="1" si="18"/>
        <v>433.60000000000008</v>
      </c>
      <c r="BL15" s="127">
        <f t="shared" si="13"/>
        <v>2011</v>
      </c>
      <c r="BM15" s="127">
        <f t="shared" ref="BM15:BX24" ca="1" si="19">OFFSET($J$2,(ROW()-5)*12+COLUMN()-65,0)</f>
        <v>606.9</v>
      </c>
      <c r="BN15" s="127">
        <f t="shared" ca="1" si="19"/>
        <v>502.60000000000008</v>
      </c>
      <c r="BO15" s="127">
        <f t="shared" ca="1" si="19"/>
        <v>396.09999999999997</v>
      </c>
      <c r="BP15" s="127">
        <f t="shared" ca="1" si="19"/>
        <v>182.40000000000003</v>
      </c>
      <c r="BQ15" s="127">
        <f t="shared" ca="1" si="19"/>
        <v>37.199999999999996</v>
      </c>
      <c r="BR15" s="127">
        <f t="shared" ca="1" si="19"/>
        <v>0</v>
      </c>
      <c r="BS15" s="127">
        <f t="shared" ca="1" si="19"/>
        <v>0</v>
      </c>
      <c r="BT15" s="127">
        <f t="shared" ca="1" si="19"/>
        <v>0</v>
      </c>
      <c r="BU15" s="127">
        <f t="shared" ca="1" si="19"/>
        <v>9.6</v>
      </c>
      <c r="BV15" s="127">
        <f t="shared" ca="1" si="19"/>
        <v>96.2</v>
      </c>
      <c r="BW15" s="127">
        <f t="shared" ca="1" si="19"/>
        <v>195.6</v>
      </c>
      <c r="BX15" s="127">
        <f t="shared" ca="1" si="19"/>
        <v>371.60000000000008</v>
      </c>
      <c r="BZ15" s="127">
        <f t="shared" si="14"/>
        <v>2011</v>
      </c>
      <c r="CA15" s="127">
        <f t="shared" ref="CA15:CL24" ca="1" si="20">OFFSET($L$2,(ROW()-5)*12+COLUMN()-79,0)</f>
        <v>544.9</v>
      </c>
      <c r="CB15" s="127">
        <f t="shared" ca="1" si="20"/>
        <v>446.6</v>
      </c>
      <c r="CC15" s="127">
        <f t="shared" ca="1" si="20"/>
        <v>334.09999999999997</v>
      </c>
      <c r="CD15" s="127">
        <f t="shared" ca="1" si="20"/>
        <v>132.4</v>
      </c>
      <c r="CE15" s="127">
        <f t="shared" ca="1" si="20"/>
        <v>19.200000000000003</v>
      </c>
      <c r="CF15" s="127">
        <f t="shared" ca="1" si="20"/>
        <v>0</v>
      </c>
      <c r="CG15" s="127">
        <f t="shared" ca="1" si="20"/>
        <v>0</v>
      </c>
      <c r="CH15" s="127">
        <f t="shared" ca="1" si="20"/>
        <v>0</v>
      </c>
      <c r="CI15" s="127">
        <f t="shared" ca="1" si="20"/>
        <v>3.1999999999999993</v>
      </c>
      <c r="CJ15" s="127">
        <f t="shared" ca="1" si="20"/>
        <v>55.399999999999991</v>
      </c>
      <c r="CK15" s="127">
        <f t="shared" ca="1" si="20"/>
        <v>141.80000000000001</v>
      </c>
      <c r="CL15" s="127">
        <f t="shared" ca="1" si="20"/>
        <v>309.60000000000002</v>
      </c>
      <c r="CN15" s="127">
        <f t="shared" si="15"/>
        <v>2011</v>
      </c>
      <c r="CO15" s="127">
        <f t="shared" ref="CO15:CZ24" ca="1" si="21">OFFSET($N$2,(ROW()-5)*12+COLUMN()-93,0)</f>
        <v>482.90000000000003</v>
      </c>
      <c r="CP15" s="127">
        <f t="shared" ca="1" si="21"/>
        <v>390.6</v>
      </c>
      <c r="CQ15" s="127">
        <f t="shared" ca="1" si="21"/>
        <v>274.30000000000007</v>
      </c>
      <c r="CR15" s="127">
        <f t="shared" ca="1" si="21"/>
        <v>86</v>
      </c>
      <c r="CS15" s="127">
        <f t="shared" ca="1" si="21"/>
        <v>7.9999999999999982</v>
      </c>
      <c r="CT15" s="127">
        <f t="shared" ca="1" si="21"/>
        <v>0</v>
      </c>
      <c r="CU15" s="127">
        <f t="shared" ca="1" si="21"/>
        <v>0</v>
      </c>
      <c r="CV15" s="127">
        <f t="shared" ca="1" si="21"/>
        <v>0</v>
      </c>
      <c r="CW15" s="127">
        <f t="shared" ca="1" si="21"/>
        <v>0.40000000000000036</v>
      </c>
      <c r="CX15" s="127">
        <f t="shared" ca="1" si="21"/>
        <v>27.2</v>
      </c>
      <c r="CY15" s="127">
        <f t="shared" ca="1" si="21"/>
        <v>94.500000000000043</v>
      </c>
      <c r="CZ15" s="127">
        <f t="shared" ca="1" si="21"/>
        <v>247.6</v>
      </c>
      <c r="DB15" s="127">
        <f t="shared" si="16"/>
        <v>2011</v>
      </c>
      <c r="DC15" s="127">
        <f t="shared" ca="1" si="9"/>
        <v>420.89999999999992</v>
      </c>
      <c r="DD15" s="127">
        <f t="shared" ca="1" si="9"/>
        <v>334.60000000000008</v>
      </c>
      <c r="DE15" s="127">
        <f t="shared" ca="1" si="9"/>
        <v>216.70000000000002</v>
      </c>
      <c r="DF15" s="127">
        <f t="shared" ca="1" si="9"/>
        <v>48.599999999999994</v>
      </c>
      <c r="DG15" s="127">
        <f t="shared" ca="1" si="9"/>
        <v>2.0999999999999996</v>
      </c>
      <c r="DH15" s="127">
        <f t="shared" ca="1" si="9"/>
        <v>0</v>
      </c>
      <c r="DI15" s="127">
        <f t="shared" ca="1" si="9"/>
        <v>0</v>
      </c>
      <c r="DJ15" s="127">
        <f t="shared" ca="1" si="9"/>
        <v>0</v>
      </c>
      <c r="DK15" s="127">
        <f t="shared" ca="1" si="9"/>
        <v>0</v>
      </c>
      <c r="DL15" s="127">
        <f t="shared" ca="1" si="9"/>
        <v>10.8</v>
      </c>
      <c r="DM15" s="127">
        <f t="shared" ca="1" si="9"/>
        <v>55.699999999999996</v>
      </c>
      <c r="DN15" s="127">
        <f t="shared" ca="1" si="9"/>
        <v>185.79999999999998</v>
      </c>
    </row>
    <row r="16" spans="1:118" x14ac:dyDescent="0.2">
      <c r="A16" s="127">
        <v>2002</v>
      </c>
      <c r="B16" s="130">
        <v>3</v>
      </c>
      <c r="C16" s="130">
        <v>1.4225806451612903</v>
      </c>
      <c r="D16" s="131">
        <v>575.9</v>
      </c>
      <c r="E16" s="131">
        <v>0</v>
      </c>
      <c r="F16" s="131">
        <v>513.90000000000009</v>
      </c>
      <c r="G16" s="131">
        <v>0</v>
      </c>
      <c r="H16" s="131">
        <v>451.90000000000009</v>
      </c>
      <c r="I16" s="131">
        <v>0</v>
      </c>
      <c r="J16" s="131">
        <v>389.90000000000003</v>
      </c>
      <c r="K16" s="131">
        <v>0</v>
      </c>
      <c r="L16" s="131">
        <v>327.90000000000003</v>
      </c>
      <c r="M16" s="131">
        <v>0</v>
      </c>
      <c r="N16" s="131">
        <v>265.90000000000003</v>
      </c>
      <c r="O16" s="131">
        <v>0</v>
      </c>
      <c r="P16" s="131">
        <v>206.39999999999995</v>
      </c>
      <c r="Q16" s="131">
        <v>2.5</v>
      </c>
      <c r="R16" s="131"/>
      <c r="S16" s="131"/>
      <c r="T16" s="131"/>
      <c r="V16" s="127">
        <f t="shared" si="10"/>
        <v>2012</v>
      </c>
      <c r="W16" s="127">
        <f t="shared" ca="1" si="0"/>
        <v>648.79999999999995</v>
      </c>
      <c r="X16" s="127">
        <f t="shared" ca="1" si="1"/>
        <v>565.09999999999991</v>
      </c>
      <c r="Y16" s="127">
        <f t="shared" ca="1" si="1"/>
        <v>323.90000000000003</v>
      </c>
      <c r="Z16" s="127">
        <f t="shared" ca="1" si="1"/>
        <v>323.39999999999998</v>
      </c>
      <c r="AA16" s="127">
        <f t="shared" ca="1" si="1"/>
        <v>88.799999999999983</v>
      </c>
      <c r="AB16" s="127">
        <f t="shared" ca="1" si="1"/>
        <v>26.900000000000009</v>
      </c>
      <c r="AC16" s="127">
        <f t="shared" ca="1" si="1"/>
        <v>0</v>
      </c>
      <c r="AD16" s="127">
        <f t="shared" ca="1" si="1"/>
        <v>6.2000000000000028</v>
      </c>
      <c r="AE16" s="127">
        <f t="shared" ca="1" si="1"/>
        <v>99.100000000000023</v>
      </c>
      <c r="AF16" s="127">
        <f t="shared" ca="1" si="1"/>
        <v>263.80000000000007</v>
      </c>
      <c r="AG16" s="127">
        <f t="shared" ca="1" si="1"/>
        <v>467.20000000000005</v>
      </c>
      <c r="AH16" s="127">
        <f t="shared" ca="1" si="1"/>
        <v>558</v>
      </c>
      <c r="AJ16" s="127">
        <f t="shared" si="11"/>
        <v>2012</v>
      </c>
      <c r="AK16" s="127">
        <f t="shared" ca="1" si="17"/>
        <v>586.79999999999995</v>
      </c>
      <c r="AL16" s="127">
        <f t="shared" ca="1" si="17"/>
        <v>507.1</v>
      </c>
      <c r="AM16" s="127">
        <f t="shared" ca="1" si="17"/>
        <v>267.8</v>
      </c>
      <c r="AN16" s="127">
        <f t="shared" ca="1" si="17"/>
        <v>264.29999999999995</v>
      </c>
      <c r="AO16" s="127">
        <f t="shared" ca="1" si="17"/>
        <v>50.400000000000006</v>
      </c>
      <c r="AP16" s="127">
        <f t="shared" ca="1" si="17"/>
        <v>11.900000000000004</v>
      </c>
      <c r="AQ16" s="127">
        <f t="shared" ca="1" si="17"/>
        <v>0</v>
      </c>
      <c r="AR16" s="127">
        <f t="shared" ca="1" si="17"/>
        <v>0.60000000000000142</v>
      </c>
      <c r="AS16" s="127">
        <f t="shared" ca="1" si="17"/>
        <v>59.599999999999994</v>
      </c>
      <c r="AT16" s="127">
        <f t="shared" ca="1" si="17"/>
        <v>205.90000000000003</v>
      </c>
      <c r="AU16" s="127">
        <f t="shared" ca="1" si="17"/>
        <v>407.2</v>
      </c>
      <c r="AV16" s="127">
        <f t="shared" ca="1" si="17"/>
        <v>495.99999999999994</v>
      </c>
      <c r="AW16" s="147">
        <f t="shared" ca="1" si="8"/>
        <v>2857.6</v>
      </c>
      <c r="AX16" s="127">
        <f t="shared" si="12"/>
        <v>2012</v>
      </c>
      <c r="AY16" s="127">
        <f t="shared" ca="1" si="18"/>
        <v>524.80000000000007</v>
      </c>
      <c r="AZ16" s="127">
        <f t="shared" ca="1" si="18"/>
        <v>449.1</v>
      </c>
      <c r="BA16" s="127">
        <f t="shared" ca="1" si="18"/>
        <v>215.6</v>
      </c>
      <c r="BB16" s="127">
        <f t="shared" ca="1" si="18"/>
        <v>206.29999999999998</v>
      </c>
      <c r="BC16" s="127">
        <f t="shared" ca="1" si="18"/>
        <v>23.3</v>
      </c>
      <c r="BD16" s="127">
        <f t="shared" ca="1" si="18"/>
        <v>2.4000000000000004</v>
      </c>
      <c r="BE16" s="127">
        <f t="shared" ca="1" si="18"/>
        <v>0</v>
      </c>
      <c r="BF16" s="127">
        <f t="shared" ca="1" si="18"/>
        <v>0</v>
      </c>
      <c r="BG16" s="127">
        <f t="shared" ca="1" si="18"/>
        <v>29.999999999999993</v>
      </c>
      <c r="BH16" s="127">
        <f t="shared" ca="1" si="18"/>
        <v>155.80000000000001</v>
      </c>
      <c r="BI16" s="127">
        <f t="shared" ca="1" si="18"/>
        <v>347.2</v>
      </c>
      <c r="BJ16" s="127">
        <f t="shared" ca="1" si="18"/>
        <v>433.99999999999994</v>
      </c>
      <c r="BL16" s="127">
        <f t="shared" si="13"/>
        <v>2012</v>
      </c>
      <c r="BM16" s="127">
        <f t="shared" ca="1" si="19"/>
        <v>462.8</v>
      </c>
      <c r="BN16" s="127">
        <f t="shared" ca="1" si="19"/>
        <v>391.10000000000008</v>
      </c>
      <c r="BO16" s="127">
        <f t="shared" ca="1" si="19"/>
        <v>171.39999999999998</v>
      </c>
      <c r="BP16" s="127">
        <f t="shared" ca="1" si="19"/>
        <v>151.60000000000002</v>
      </c>
      <c r="BQ16" s="127">
        <f t="shared" ca="1" si="19"/>
        <v>6.6999999999999993</v>
      </c>
      <c r="BR16" s="127">
        <f t="shared" ca="1" si="19"/>
        <v>0</v>
      </c>
      <c r="BS16" s="127">
        <f t="shared" ca="1" si="19"/>
        <v>0</v>
      </c>
      <c r="BT16" s="127">
        <f t="shared" ca="1" si="19"/>
        <v>0</v>
      </c>
      <c r="BU16" s="127">
        <f t="shared" ca="1" si="19"/>
        <v>12.299999999999999</v>
      </c>
      <c r="BV16" s="127">
        <f t="shared" ca="1" si="19"/>
        <v>109.80000000000001</v>
      </c>
      <c r="BW16" s="127">
        <f t="shared" ca="1" si="19"/>
        <v>287.8</v>
      </c>
      <c r="BX16" s="127">
        <f t="shared" ca="1" si="19"/>
        <v>372</v>
      </c>
      <c r="BZ16" s="127">
        <f t="shared" si="14"/>
        <v>2012</v>
      </c>
      <c r="CA16" s="127">
        <f t="shared" ca="1" si="20"/>
        <v>400.79999999999995</v>
      </c>
      <c r="CB16" s="127">
        <f t="shared" ca="1" si="20"/>
        <v>333.1</v>
      </c>
      <c r="CC16" s="127">
        <f t="shared" ca="1" si="20"/>
        <v>133</v>
      </c>
      <c r="CD16" s="127">
        <f t="shared" ca="1" si="20"/>
        <v>99.6</v>
      </c>
      <c r="CE16" s="127">
        <f t="shared" ca="1" si="20"/>
        <v>0</v>
      </c>
      <c r="CF16" s="127">
        <f t="shared" ca="1" si="20"/>
        <v>0</v>
      </c>
      <c r="CG16" s="127">
        <f t="shared" ca="1" si="20"/>
        <v>0</v>
      </c>
      <c r="CH16" s="127">
        <f t="shared" ca="1" si="20"/>
        <v>0</v>
      </c>
      <c r="CI16" s="127">
        <f t="shared" ca="1" si="20"/>
        <v>2</v>
      </c>
      <c r="CJ16" s="127">
        <f t="shared" ca="1" si="20"/>
        <v>70.499999999999986</v>
      </c>
      <c r="CK16" s="127">
        <f t="shared" ca="1" si="20"/>
        <v>229.80000000000004</v>
      </c>
      <c r="CL16" s="127">
        <f t="shared" ca="1" si="20"/>
        <v>310</v>
      </c>
      <c r="CN16" s="127">
        <f t="shared" si="15"/>
        <v>2012</v>
      </c>
      <c r="CO16" s="127">
        <f t="shared" ca="1" si="21"/>
        <v>338.8</v>
      </c>
      <c r="CP16" s="127">
        <f t="shared" ca="1" si="21"/>
        <v>275.09999999999997</v>
      </c>
      <c r="CQ16" s="127">
        <f t="shared" ca="1" si="21"/>
        <v>101.89999999999999</v>
      </c>
      <c r="CR16" s="127">
        <f t="shared" ca="1" si="21"/>
        <v>52.400000000000006</v>
      </c>
      <c r="CS16" s="127">
        <f t="shared" ca="1" si="21"/>
        <v>0</v>
      </c>
      <c r="CT16" s="127">
        <f t="shared" ca="1" si="21"/>
        <v>0</v>
      </c>
      <c r="CU16" s="127">
        <f t="shared" ca="1" si="21"/>
        <v>0</v>
      </c>
      <c r="CV16" s="127">
        <f t="shared" ca="1" si="21"/>
        <v>0</v>
      </c>
      <c r="CW16" s="127">
        <f t="shared" ca="1" si="21"/>
        <v>0</v>
      </c>
      <c r="CX16" s="127">
        <f t="shared" ca="1" si="21"/>
        <v>37.499999999999993</v>
      </c>
      <c r="CY16" s="127">
        <f t="shared" ca="1" si="21"/>
        <v>173.40000000000003</v>
      </c>
      <c r="CZ16" s="127">
        <f t="shared" ca="1" si="21"/>
        <v>249.30000000000004</v>
      </c>
      <c r="DB16" s="127">
        <f t="shared" si="16"/>
        <v>2012</v>
      </c>
      <c r="DC16" s="127">
        <f t="shared" ca="1" si="9"/>
        <v>276.79999999999995</v>
      </c>
      <c r="DD16" s="127">
        <f t="shared" ca="1" si="9"/>
        <v>217.1</v>
      </c>
      <c r="DE16" s="127">
        <f t="shared" ca="1" si="9"/>
        <v>73.3</v>
      </c>
      <c r="DF16" s="127">
        <f t="shared" ca="1" si="9"/>
        <v>20.799999999999997</v>
      </c>
      <c r="DG16" s="127">
        <f t="shared" ca="1" si="9"/>
        <v>0</v>
      </c>
      <c r="DH16" s="127">
        <f t="shared" ca="1" si="9"/>
        <v>0</v>
      </c>
      <c r="DI16" s="127">
        <f t="shared" ca="1" si="9"/>
        <v>0</v>
      </c>
      <c r="DJ16" s="127">
        <f t="shared" ca="1" si="9"/>
        <v>0</v>
      </c>
      <c r="DK16" s="127">
        <f t="shared" ca="1" si="9"/>
        <v>0</v>
      </c>
      <c r="DL16" s="127">
        <f t="shared" ca="1" si="9"/>
        <v>15.399999999999999</v>
      </c>
      <c r="DM16" s="127">
        <f t="shared" ca="1" si="9"/>
        <v>119.89999999999999</v>
      </c>
      <c r="DN16" s="127">
        <f t="shared" ca="1" si="9"/>
        <v>195</v>
      </c>
    </row>
    <row r="17" spans="1:118" x14ac:dyDescent="0.2">
      <c r="A17" s="127">
        <v>2002</v>
      </c>
      <c r="B17" s="130">
        <v>4</v>
      </c>
      <c r="C17" s="130">
        <v>9.3933333333333344</v>
      </c>
      <c r="D17" s="131">
        <v>325.29999999999995</v>
      </c>
      <c r="E17" s="131">
        <v>7.1000000000000014</v>
      </c>
      <c r="F17" s="131">
        <v>273.3</v>
      </c>
      <c r="G17" s="131">
        <v>15.100000000000001</v>
      </c>
      <c r="H17" s="131">
        <v>223</v>
      </c>
      <c r="I17" s="131">
        <v>24.8</v>
      </c>
      <c r="J17" s="131">
        <v>175</v>
      </c>
      <c r="K17" s="131">
        <v>36.799999999999997</v>
      </c>
      <c r="L17" s="131">
        <v>128.1</v>
      </c>
      <c r="M17" s="131">
        <v>49.899999999999991</v>
      </c>
      <c r="N17" s="131">
        <v>87.200000000000017</v>
      </c>
      <c r="O17" s="131">
        <v>69</v>
      </c>
      <c r="P17" s="131">
        <v>54.6</v>
      </c>
      <c r="Q17" s="131">
        <v>96.399999999999991</v>
      </c>
      <c r="R17" s="131"/>
      <c r="S17" s="131"/>
      <c r="T17" s="131"/>
      <c r="V17" s="127">
        <f t="shared" si="10"/>
        <v>2013</v>
      </c>
      <c r="W17" s="127">
        <f t="shared" ca="1" si="0"/>
        <v>675.50000000000011</v>
      </c>
      <c r="X17" s="127">
        <f t="shared" ca="1" si="1"/>
        <v>646.79999999999995</v>
      </c>
      <c r="Y17" s="127">
        <f t="shared" ca="1" si="1"/>
        <v>586.20000000000005</v>
      </c>
      <c r="Z17" s="127">
        <f t="shared" ca="1" si="1"/>
        <v>378.29999999999995</v>
      </c>
      <c r="AA17" s="127">
        <f t="shared" ca="1" si="1"/>
        <v>122.69999999999999</v>
      </c>
      <c r="AB17" s="127">
        <f t="shared" ca="1" si="1"/>
        <v>41.6</v>
      </c>
      <c r="AC17" s="127">
        <f t="shared" ca="1" si="1"/>
        <v>14</v>
      </c>
      <c r="AD17" s="127">
        <f t="shared" ca="1" si="1"/>
        <v>14.700000000000003</v>
      </c>
      <c r="AE17" s="127">
        <f t="shared" ca="1" si="1"/>
        <v>93.899999999999991</v>
      </c>
      <c r="AF17" s="127">
        <f t="shared" ca="1" si="1"/>
        <v>240.3</v>
      </c>
      <c r="AG17" s="127">
        <f t="shared" ca="1" si="1"/>
        <v>502.70000000000005</v>
      </c>
      <c r="AH17" s="127">
        <f t="shared" ca="1" si="1"/>
        <v>697.8</v>
      </c>
      <c r="AJ17" s="127">
        <f t="shared" si="11"/>
        <v>2013</v>
      </c>
      <c r="AK17" s="127">
        <f t="shared" ca="1" si="17"/>
        <v>613.5</v>
      </c>
      <c r="AL17" s="127">
        <f t="shared" ca="1" si="17"/>
        <v>590.79999999999995</v>
      </c>
      <c r="AM17" s="127">
        <f t="shared" ca="1" si="17"/>
        <v>524.20000000000016</v>
      </c>
      <c r="AN17" s="127">
        <f t="shared" ca="1" si="17"/>
        <v>318.29999999999995</v>
      </c>
      <c r="AO17" s="127">
        <f t="shared" ca="1" si="17"/>
        <v>83.3</v>
      </c>
      <c r="AP17" s="127">
        <f t="shared" ca="1" si="17"/>
        <v>18.200000000000003</v>
      </c>
      <c r="AQ17" s="127">
        <f t="shared" ca="1" si="17"/>
        <v>2.6000000000000014</v>
      </c>
      <c r="AR17" s="127">
        <f t="shared" ca="1" si="17"/>
        <v>3.9000000000000021</v>
      </c>
      <c r="AS17" s="127">
        <f t="shared" ca="1" si="17"/>
        <v>53.7</v>
      </c>
      <c r="AT17" s="127">
        <f t="shared" ca="1" si="17"/>
        <v>187.09999999999997</v>
      </c>
      <c r="AU17" s="127">
        <f t="shared" ca="1" si="17"/>
        <v>442.7</v>
      </c>
      <c r="AV17" s="127">
        <f t="shared" ca="1" si="17"/>
        <v>635.79999999999995</v>
      </c>
      <c r="AW17" s="147">
        <f t="shared" ca="1" si="8"/>
        <v>3474.0999999999995</v>
      </c>
      <c r="AX17" s="127">
        <f t="shared" si="12"/>
        <v>2013</v>
      </c>
      <c r="AY17" s="127">
        <f t="shared" ca="1" si="18"/>
        <v>551.5</v>
      </c>
      <c r="AZ17" s="127">
        <f t="shared" ca="1" si="18"/>
        <v>534.79999999999995</v>
      </c>
      <c r="BA17" s="127">
        <f t="shared" ca="1" si="18"/>
        <v>462.20000000000005</v>
      </c>
      <c r="BB17" s="127">
        <f t="shared" ca="1" si="18"/>
        <v>259.09999999999997</v>
      </c>
      <c r="BC17" s="127">
        <f t="shared" ca="1" si="18"/>
        <v>54.8</v>
      </c>
      <c r="BD17" s="127">
        <f t="shared" ca="1" si="18"/>
        <v>6</v>
      </c>
      <c r="BE17" s="127">
        <f t="shared" ca="1" si="18"/>
        <v>0</v>
      </c>
      <c r="BF17" s="127">
        <f t="shared" ca="1" si="18"/>
        <v>0</v>
      </c>
      <c r="BG17" s="127">
        <f t="shared" ca="1" si="18"/>
        <v>25.700000000000003</v>
      </c>
      <c r="BH17" s="127">
        <f t="shared" ca="1" si="18"/>
        <v>139.1</v>
      </c>
      <c r="BI17" s="127">
        <f t="shared" ca="1" si="18"/>
        <v>382.7</v>
      </c>
      <c r="BJ17" s="127">
        <f t="shared" ca="1" si="18"/>
        <v>573.79999999999995</v>
      </c>
      <c r="BL17" s="127">
        <f t="shared" si="13"/>
        <v>2013</v>
      </c>
      <c r="BM17" s="127">
        <f t="shared" ca="1" si="19"/>
        <v>489.49999999999994</v>
      </c>
      <c r="BN17" s="127">
        <f t="shared" ca="1" si="19"/>
        <v>478.79999999999995</v>
      </c>
      <c r="BO17" s="127">
        <f t="shared" ca="1" si="19"/>
        <v>400.20000000000005</v>
      </c>
      <c r="BP17" s="127">
        <f t="shared" ca="1" si="19"/>
        <v>204.59999999999994</v>
      </c>
      <c r="BQ17" s="127">
        <f t="shared" ca="1" si="19"/>
        <v>34.1</v>
      </c>
      <c r="BR17" s="127">
        <f t="shared" ca="1" si="19"/>
        <v>0.40000000000000036</v>
      </c>
      <c r="BS17" s="127">
        <f t="shared" ca="1" si="19"/>
        <v>0</v>
      </c>
      <c r="BT17" s="127">
        <f t="shared" ca="1" si="19"/>
        <v>0</v>
      </c>
      <c r="BU17" s="127">
        <f t="shared" ca="1" si="19"/>
        <v>9.1000000000000014</v>
      </c>
      <c r="BV17" s="127">
        <f t="shared" ca="1" si="19"/>
        <v>96.100000000000023</v>
      </c>
      <c r="BW17" s="127">
        <f t="shared" ca="1" si="19"/>
        <v>322.7</v>
      </c>
      <c r="BX17" s="127">
        <f t="shared" ca="1" si="19"/>
        <v>511.7999999999999</v>
      </c>
      <c r="BZ17" s="127">
        <f t="shared" si="14"/>
        <v>2013</v>
      </c>
      <c r="CA17" s="127">
        <f t="shared" ca="1" si="20"/>
        <v>427.5</v>
      </c>
      <c r="CB17" s="127">
        <f t="shared" ca="1" si="20"/>
        <v>422.79999999999995</v>
      </c>
      <c r="CC17" s="127">
        <f t="shared" ca="1" si="20"/>
        <v>338.20000000000005</v>
      </c>
      <c r="CD17" s="127">
        <f t="shared" ca="1" si="20"/>
        <v>151.79999999999998</v>
      </c>
      <c r="CE17" s="127">
        <f t="shared" ca="1" si="20"/>
        <v>19.100000000000001</v>
      </c>
      <c r="CF17" s="127">
        <f t="shared" ca="1" si="20"/>
        <v>0</v>
      </c>
      <c r="CG17" s="127">
        <f t="shared" ca="1" si="20"/>
        <v>0</v>
      </c>
      <c r="CH17" s="127">
        <f t="shared" ca="1" si="20"/>
        <v>0</v>
      </c>
      <c r="CI17" s="127">
        <f t="shared" ca="1" si="20"/>
        <v>0</v>
      </c>
      <c r="CJ17" s="127">
        <f t="shared" ca="1" si="20"/>
        <v>62.2</v>
      </c>
      <c r="CK17" s="127">
        <f t="shared" ca="1" si="20"/>
        <v>264</v>
      </c>
      <c r="CL17" s="127">
        <f t="shared" ca="1" si="20"/>
        <v>449.7999999999999</v>
      </c>
      <c r="CN17" s="127">
        <f t="shared" si="15"/>
        <v>2013</v>
      </c>
      <c r="CO17" s="127">
        <f t="shared" ca="1" si="21"/>
        <v>366.09999999999997</v>
      </c>
      <c r="CP17" s="127">
        <f t="shared" ca="1" si="21"/>
        <v>366.79999999999995</v>
      </c>
      <c r="CQ17" s="127">
        <f t="shared" ca="1" si="21"/>
        <v>276.2</v>
      </c>
      <c r="CR17" s="127">
        <f t="shared" ca="1" si="21"/>
        <v>105.1</v>
      </c>
      <c r="CS17" s="127">
        <f t="shared" ca="1" si="21"/>
        <v>9.1000000000000014</v>
      </c>
      <c r="CT17" s="127">
        <f t="shared" ca="1" si="21"/>
        <v>0</v>
      </c>
      <c r="CU17" s="127">
        <f t="shared" ca="1" si="21"/>
        <v>0</v>
      </c>
      <c r="CV17" s="127">
        <f t="shared" ca="1" si="21"/>
        <v>0</v>
      </c>
      <c r="CW17" s="127">
        <f t="shared" ca="1" si="21"/>
        <v>0</v>
      </c>
      <c r="CX17" s="127">
        <f t="shared" ca="1" si="21"/>
        <v>36.5</v>
      </c>
      <c r="CY17" s="127">
        <f t="shared" ca="1" si="21"/>
        <v>208.60000000000002</v>
      </c>
      <c r="CZ17" s="127">
        <f t="shared" ca="1" si="21"/>
        <v>388.09999999999997</v>
      </c>
      <c r="DB17" s="127">
        <f t="shared" si="16"/>
        <v>2013</v>
      </c>
      <c r="DC17" s="127">
        <f t="shared" ca="1" si="9"/>
        <v>306.79999999999995</v>
      </c>
      <c r="DD17" s="127">
        <f t="shared" ca="1" si="9"/>
        <v>310.79999999999995</v>
      </c>
      <c r="DE17" s="127">
        <f t="shared" ca="1" si="9"/>
        <v>217.3</v>
      </c>
      <c r="DF17" s="127">
        <f t="shared" ca="1" si="9"/>
        <v>66.900000000000006</v>
      </c>
      <c r="DG17" s="127">
        <f t="shared" ca="1" si="9"/>
        <v>3</v>
      </c>
      <c r="DH17" s="127">
        <f t="shared" ca="1" si="9"/>
        <v>0</v>
      </c>
      <c r="DI17" s="127">
        <f t="shared" ca="1" si="9"/>
        <v>0</v>
      </c>
      <c r="DJ17" s="127">
        <f t="shared" ca="1" si="9"/>
        <v>0</v>
      </c>
      <c r="DK17" s="127">
        <f t="shared" ca="1" si="9"/>
        <v>0</v>
      </c>
      <c r="DL17" s="127">
        <f t="shared" ca="1" si="9"/>
        <v>18.2</v>
      </c>
      <c r="DM17" s="127">
        <f t="shared" ca="1" si="9"/>
        <v>157.50000000000003</v>
      </c>
      <c r="DN17" s="127">
        <f t="shared" ca="1" si="9"/>
        <v>329.09999999999991</v>
      </c>
    </row>
    <row r="18" spans="1:118" x14ac:dyDescent="0.2">
      <c r="A18" s="127">
        <v>2002</v>
      </c>
      <c r="B18" s="130">
        <v>5</v>
      </c>
      <c r="C18" s="130">
        <v>12.432258064516132</v>
      </c>
      <c r="D18" s="131">
        <v>241</v>
      </c>
      <c r="E18" s="131">
        <v>6.4000000000000021</v>
      </c>
      <c r="F18" s="131">
        <v>185.1</v>
      </c>
      <c r="G18" s="131">
        <v>12.500000000000004</v>
      </c>
      <c r="H18" s="131">
        <v>132.69999999999996</v>
      </c>
      <c r="I18" s="131">
        <v>22.100000000000005</v>
      </c>
      <c r="J18" s="131">
        <v>89.3</v>
      </c>
      <c r="K18" s="131">
        <v>40.700000000000003</v>
      </c>
      <c r="L18" s="131">
        <v>51.8</v>
      </c>
      <c r="M18" s="131">
        <v>65.199999999999989</v>
      </c>
      <c r="N18" s="131">
        <v>23.999999999999996</v>
      </c>
      <c r="O18" s="131">
        <v>99.399999999999977</v>
      </c>
      <c r="P18" s="131">
        <v>7.7</v>
      </c>
      <c r="Q18" s="131">
        <v>145.1</v>
      </c>
      <c r="R18" s="131"/>
      <c r="S18" s="131"/>
      <c r="T18" s="131"/>
      <c r="V18" s="127">
        <f t="shared" si="10"/>
        <v>2014</v>
      </c>
      <c r="W18" s="127">
        <f t="shared" ca="1" si="0"/>
        <v>871.69999999999993</v>
      </c>
      <c r="X18" s="127">
        <f t="shared" ca="1" si="1"/>
        <v>761.10000000000014</v>
      </c>
      <c r="Y18" s="127">
        <f t="shared" ca="1" si="1"/>
        <v>699.1</v>
      </c>
      <c r="Z18" s="127">
        <f t="shared" ca="1" si="1"/>
        <v>343.40000000000003</v>
      </c>
      <c r="AA18" s="127">
        <f t="shared" ca="1" si="1"/>
        <v>149</v>
      </c>
      <c r="AB18" s="127">
        <f t="shared" ca="1" si="1"/>
        <v>19.499999999999996</v>
      </c>
      <c r="AC18" s="127">
        <f t="shared" ca="1" si="1"/>
        <v>24.3</v>
      </c>
      <c r="AD18" s="127">
        <f t="shared" ca="1" si="1"/>
        <v>13.500000000000004</v>
      </c>
      <c r="AE18" s="127">
        <f t="shared" ca="1" si="1"/>
        <v>122.29999999999998</v>
      </c>
      <c r="AF18" s="127">
        <f t="shared" ca="1" si="1"/>
        <v>281.2</v>
      </c>
      <c r="AG18" s="127">
        <f t="shared" ca="1" si="1"/>
        <v>539.30000000000007</v>
      </c>
      <c r="AH18" s="127">
        <f t="shared" ca="1" si="1"/>
        <v>607.20000000000005</v>
      </c>
      <c r="AJ18" s="127">
        <f t="shared" si="11"/>
        <v>2014</v>
      </c>
      <c r="AK18" s="127">
        <f t="shared" ca="1" si="17"/>
        <v>809.69999999999993</v>
      </c>
      <c r="AL18" s="127">
        <f t="shared" ca="1" si="17"/>
        <v>705.10000000000014</v>
      </c>
      <c r="AM18" s="127">
        <f t="shared" ca="1" si="17"/>
        <v>637.10000000000014</v>
      </c>
      <c r="AN18" s="127">
        <f t="shared" ca="1" si="17"/>
        <v>283.40000000000003</v>
      </c>
      <c r="AO18" s="127">
        <f t="shared" ca="1" si="17"/>
        <v>103.4</v>
      </c>
      <c r="AP18" s="127">
        <f t="shared" ca="1" si="17"/>
        <v>4.9999999999999964</v>
      </c>
      <c r="AQ18" s="127">
        <f t="shared" ca="1" si="17"/>
        <v>4.4000000000000021</v>
      </c>
      <c r="AR18" s="127">
        <f t="shared" ca="1" si="17"/>
        <v>3.8000000000000007</v>
      </c>
      <c r="AS18" s="127">
        <f t="shared" ca="1" si="17"/>
        <v>76.799999999999983</v>
      </c>
      <c r="AT18" s="127">
        <f t="shared" ca="1" si="17"/>
        <v>219.2</v>
      </c>
      <c r="AU18" s="127">
        <f t="shared" ca="1" si="17"/>
        <v>479.30000000000013</v>
      </c>
      <c r="AV18" s="127">
        <f t="shared" ca="1" si="17"/>
        <v>545.20000000000005</v>
      </c>
      <c r="AW18" s="147">
        <f t="shared" ca="1" si="8"/>
        <v>3872.4000000000015</v>
      </c>
      <c r="AX18" s="127">
        <f t="shared" si="12"/>
        <v>2014</v>
      </c>
      <c r="AY18" s="127">
        <f t="shared" ca="1" si="18"/>
        <v>747.69999999999982</v>
      </c>
      <c r="AZ18" s="127">
        <f t="shared" ca="1" si="18"/>
        <v>649.1</v>
      </c>
      <c r="BA18" s="127">
        <f t="shared" ca="1" si="18"/>
        <v>575.1</v>
      </c>
      <c r="BB18" s="127">
        <f t="shared" ca="1" si="18"/>
        <v>223.7</v>
      </c>
      <c r="BC18" s="127">
        <f t="shared" ca="1" si="18"/>
        <v>67.800000000000011</v>
      </c>
      <c r="BD18" s="127">
        <f t="shared" ca="1" si="18"/>
        <v>0</v>
      </c>
      <c r="BE18" s="127">
        <f t="shared" ca="1" si="18"/>
        <v>0</v>
      </c>
      <c r="BF18" s="127">
        <f t="shared" ca="1" si="18"/>
        <v>0</v>
      </c>
      <c r="BG18" s="127">
        <f t="shared" ca="1" si="18"/>
        <v>41.7</v>
      </c>
      <c r="BH18" s="127">
        <f t="shared" ca="1" si="18"/>
        <v>159.9</v>
      </c>
      <c r="BI18" s="127">
        <f t="shared" ca="1" si="18"/>
        <v>419.30000000000007</v>
      </c>
      <c r="BJ18" s="127">
        <f t="shared" ca="1" si="18"/>
        <v>483.2</v>
      </c>
      <c r="BL18" s="127">
        <f t="shared" si="13"/>
        <v>2014</v>
      </c>
      <c r="BM18" s="127">
        <f t="shared" ca="1" si="19"/>
        <v>685.69999999999982</v>
      </c>
      <c r="BN18" s="127">
        <f t="shared" ca="1" si="19"/>
        <v>593.1</v>
      </c>
      <c r="BO18" s="127">
        <f t="shared" ca="1" si="19"/>
        <v>513.10000000000014</v>
      </c>
      <c r="BP18" s="127">
        <f t="shared" ca="1" si="19"/>
        <v>167.99999999999997</v>
      </c>
      <c r="BQ18" s="127">
        <f t="shared" ca="1" si="19"/>
        <v>41.5</v>
      </c>
      <c r="BR18" s="127">
        <f t="shared" ca="1" si="19"/>
        <v>0</v>
      </c>
      <c r="BS18" s="127">
        <f t="shared" ca="1" si="19"/>
        <v>0</v>
      </c>
      <c r="BT18" s="127">
        <f t="shared" ca="1" si="19"/>
        <v>0</v>
      </c>
      <c r="BU18" s="127">
        <f t="shared" ca="1" si="19"/>
        <v>19.5</v>
      </c>
      <c r="BV18" s="127">
        <f t="shared" ca="1" si="19"/>
        <v>107.70000000000003</v>
      </c>
      <c r="BW18" s="127">
        <f t="shared" ca="1" si="19"/>
        <v>359.30000000000007</v>
      </c>
      <c r="BX18" s="127">
        <f t="shared" ca="1" si="19"/>
        <v>421.2</v>
      </c>
      <c r="BZ18" s="127">
        <f t="shared" si="14"/>
        <v>2014</v>
      </c>
      <c r="CA18" s="127">
        <f t="shared" ca="1" si="20"/>
        <v>623.69999999999993</v>
      </c>
      <c r="CB18" s="127">
        <f t="shared" ca="1" si="20"/>
        <v>537.09999999999991</v>
      </c>
      <c r="CC18" s="127">
        <f t="shared" ca="1" si="20"/>
        <v>451.10000000000008</v>
      </c>
      <c r="CD18" s="127">
        <f t="shared" ca="1" si="20"/>
        <v>118.2</v>
      </c>
      <c r="CE18" s="127">
        <f t="shared" ca="1" si="20"/>
        <v>19.400000000000002</v>
      </c>
      <c r="CF18" s="127">
        <f t="shared" ca="1" si="20"/>
        <v>0</v>
      </c>
      <c r="CG18" s="127">
        <f t="shared" ca="1" si="20"/>
        <v>0</v>
      </c>
      <c r="CH18" s="127">
        <f t="shared" ca="1" si="20"/>
        <v>0</v>
      </c>
      <c r="CI18" s="127">
        <f t="shared" ca="1" si="20"/>
        <v>5.6000000000000014</v>
      </c>
      <c r="CJ18" s="127">
        <f t="shared" ca="1" si="20"/>
        <v>65.399999999999991</v>
      </c>
      <c r="CK18" s="127">
        <f t="shared" ca="1" si="20"/>
        <v>299.3</v>
      </c>
      <c r="CL18" s="127">
        <f t="shared" ca="1" si="20"/>
        <v>359.19999999999993</v>
      </c>
      <c r="CN18" s="127">
        <f t="shared" si="15"/>
        <v>2014</v>
      </c>
      <c r="CO18" s="127">
        <f t="shared" ca="1" si="21"/>
        <v>561.70000000000005</v>
      </c>
      <c r="CP18" s="127">
        <f t="shared" ca="1" si="21"/>
        <v>481.09999999999985</v>
      </c>
      <c r="CQ18" s="127">
        <f t="shared" ca="1" si="21"/>
        <v>389.10000000000008</v>
      </c>
      <c r="CR18" s="127">
        <f t="shared" ca="1" si="21"/>
        <v>74.600000000000009</v>
      </c>
      <c r="CS18" s="127">
        <f t="shared" ca="1" si="21"/>
        <v>5.2999999999999989</v>
      </c>
      <c r="CT18" s="127">
        <f t="shared" ca="1" si="21"/>
        <v>0</v>
      </c>
      <c r="CU18" s="127">
        <f t="shared" ca="1" si="21"/>
        <v>0</v>
      </c>
      <c r="CV18" s="127">
        <f t="shared" ca="1" si="21"/>
        <v>0</v>
      </c>
      <c r="CW18" s="127">
        <f t="shared" ca="1" si="21"/>
        <v>0.30000000000000071</v>
      </c>
      <c r="CX18" s="127">
        <f t="shared" ca="1" si="21"/>
        <v>29.6</v>
      </c>
      <c r="CY18" s="127">
        <f t="shared" ca="1" si="21"/>
        <v>239.9</v>
      </c>
      <c r="CZ18" s="127">
        <f t="shared" ca="1" si="21"/>
        <v>297.20000000000005</v>
      </c>
      <c r="DB18" s="127">
        <f t="shared" si="16"/>
        <v>2014</v>
      </c>
      <c r="DC18" s="127">
        <f t="shared" ca="1" si="9"/>
        <v>499.7</v>
      </c>
      <c r="DD18" s="127">
        <f t="shared" ca="1" si="9"/>
        <v>425.09999999999985</v>
      </c>
      <c r="DE18" s="127">
        <f t="shared" ca="1" si="9"/>
        <v>327.10000000000008</v>
      </c>
      <c r="DF18" s="127">
        <f t="shared" ca="1" si="9"/>
        <v>40.4</v>
      </c>
      <c r="DG18" s="127">
        <f t="shared" ca="1" si="9"/>
        <v>0.5</v>
      </c>
      <c r="DH18" s="127">
        <f t="shared" ca="1" si="9"/>
        <v>0</v>
      </c>
      <c r="DI18" s="127">
        <f t="shared" ca="1" si="9"/>
        <v>0</v>
      </c>
      <c r="DJ18" s="127">
        <f t="shared" ca="1" si="9"/>
        <v>0</v>
      </c>
      <c r="DK18" s="127">
        <f t="shared" ca="1" si="9"/>
        <v>0</v>
      </c>
      <c r="DL18" s="127">
        <f t="shared" ca="1" si="9"/>
        <v>7.5</v>
      </c>
      <c r="DM18" s="127">
        <f t="shared" ca="1" si="9"/>
        <v>189.4</v>
      </c>
      <c r="DN18" s="127">
        <f t="shared" ca="1" si="9"/>
        <v>235.70000000000002</v>
      </c>
    </row>
    <row r="19" spans="1:118" x14ac:dyDescent="0.2">
      <c r="A19" s="127">
        <v>2002</v>
      </c>
      <c r="B19" s="130">
        <v>6</v>
      </c>
      <c r="C19" s="130">
        <v>21.393333333333331</v>
      </c>
      <c r="D19" s="131">
        <v>39.800000000000004</v>
      </c>
      <c r="E19" s="131">
        <v>81.600000000000023</v>
      </c>
      <c r="F19" s="131">
        <v>16.5</v>
      </c>
      <c r="G19" s="131">
        <v>118.30000000000001</v>
      </c>
      <c r="H19" s="131">
        <v>5.3000000000000007</v>
      </c>
      <c r="I19" s="131">
        <v>167.1</v>
      </c>
      <c r="J19" s="131">
        <v>1.6999999999999993</v>
      </c>
      <c r="K19" s="131">
        <v>223.49999999999997</v>
      </c>
      <c r="L19" s="131">
        <v>0</v>
      </c>
      <c r="M19" s="131">
        <v>281.8</v>
      </c>
      <c r="N19" s="131">
        <v>0</v>
      </c>
      <c r="O19" s="131">
        <v>341.79999999999995</v>
      </c>
      <c r="P19" s="131">
        <v>0</v>
      </c>
      <c r="Q19" s="131">
        <v>401.8</v>
      </c>
      <c r="R19" s="131"/>
      <c r="S19" s="131"/>
      <c r="T19" s="131"/>
      <c r="V19" s="127">
        <f t="shared" si="10"/>
        <v>2015</v>
      </c>
      <c r="W19" s="127">
        <f t="shared" ca="1" si="0"/>
        <v>828.90000000000009</v>
      </c>
      <c r="X19" s="127">
        <f t="shared" ca="1" si="1"/>
        <v>867.10000000000025</v>
      </c>
      <c r="Y19" s="127">
        <f t="shared" ca="1" si="1"/>
        <v>627.29999999999995</v>
      </c>
      <c r="Z19" s="127">
        <f t="shared" ca="1" si="1"/>
        <v>343.20000000000005</v>
      </c>
      <c r="AA19" s="127">
        <f t="shared" ca="1" si="1"/>
        <v>118.3</v>
      </c>
      <c r="AB19" s="127">
        <f t="shared" ca="1" si="1"/>
        <v>41.29999999999999</v>
      </c>
      <c r="AC19" s="127">
        <f t="shared" ca="1" si="1"/>
        <v>15.199999999999996</v>
      </c>
      <c r="AD19" s="127">
        <f t="shared" ca="1" si="1"/>
        <v>21.7</v>
      </c>
      <c r="AE19" s="127">
        <f t="shared" ca="1" si="1"/>
        <v>51.3</v>
      </c>
      <c r="AF19" s="127">
        <f t="shared" ca="1" si="1"/>
        <v>255.50000000000003</v>
      </c>
      <c r="AG19" s="127">
        <f t="shared" ca="1" si="1"/>
        <v>385.2</v>
      </c>
      <c r="AH19" s="127">
        <f t="shared" ca="1" si="1"/>
        <v>479.30000000000007</v>
      </c>
      <c r="AJ19" s="127">
        <f t="shared" si="11"/>
        <v>2015</v>
      </c>
      <c r="AK19" s="127">
        <f t="shared" ca="1" si="17"/>
        <v>766.90000000000009</v>
      </c>
      <c r="AL19" s="127">
        <f t="shared" ca="1" si="17"/>
        <v>811.10000000000014</v>
      </c>
      <c r="AM19" s="127">
        <f t="shared" ca="1" si="17"/>
        <v>565.29999999999995</v>
      </c>
      <c r="AN19" s="127">
        <f t="shared" ca="1" si="17"/>
        <v>283.2</v>
      </c>
      <c r="AO19" s="127">
        <f t="shared" ca="1" si="17"/>
        <v>79.599999999999994</v>
      </c>
      <c r="AP19" s="127">
        <f t="shared" ca="1" si="17"/>
        <v>18.900000000000002</v>
      </c>
      <c r="AQ19" s="127">
        <f t="shared" ca="1" si="17"/>
        <v>2.8999999999999986</v>
      </c>
      <c r="AR19" s="127">
        <f t="shared" ca="1" si="17"/>
        <v>8.5000000000000018</v>
      </c>
      <c r="AS19" s="127">
        <f t="shared" ca="1" si="17"/>
        <v>23.099999999999998</v>
      </c>
      <c r="AT19" s="127">
        <f t="shared" ca="1" si="17"/>
        <v>194.50000000000003</v>
      </c>
      <c r="AU19" s="127">
        <f t="shared" ca="1" si="17"/>
        <v>325.2</v>
      </c>
      <c r="AV19" s="127">
        <f t="shared" ca="1" si="17"/>
        <v>417.30000000000007</v>
      </c>
      <c r="AW19" s="147">
        <f t="shared" ca="1" si="8"/>
        <v>3496.5</v>
      </c>
      <c r="AX19" s="127">
        <f t="shared" si="12"/>
        <v>2015</v>
      </c>
      <c r="AY19" s="127">
        <f t="shared" ca="1" si="18"/>
        <v>704.90000000000009</v>
      </c>
      <c r="AZ19" s="127">
        <f t="shared" ca="1" si="18"/>
        <v>755.10000000000014</v>
      </c>
      <c r="BA19" s="127">
        <f t="shared" ca="1" si="18"/>
        <v>503.3</v>
      </c>
      <c r="BB19" s="127">
        <f t="shared" ca="1" si="18"/>
        <v>223.19999999999996</v>
      </c>
      <c r="BC19" s="127">
        <f t="shared" ca="1" si="18"/>
        <v>50.9</v>
      </c>
      <c r="BD19" s="127">
        <f t="shared" ca="1" si="18"/>
        <v>7.9</v>
      </c>
      <c r="BE19" s="127">
        <f t="shared" ca="1" si="18"/>
        <v>0.19999999999999929</v>
      </c>
      <c r="BF19" s="127">
        <f t="shared" ca="1" si="18"/>
        <v>2.0999999999999996</v>
      </c>
      <c r="BG19" s="127">
        <f t="shared" ca="1" si="18"/>
        <v>7.2999999999999972</v>
      </c>
      <c r="BH19" s="127">
        <f t="shared" ca="1" si="18"/>
        <v>138.6</v>
      </c>
      <c r="BI19" s="127">
        <f t="shared" ca="1" si="18"/>
        <v>266.09999999999997</v>
      </c>
      <c r="BJ19" s="127">
        <f t="shared" ca="1" si="18"/>
        <v>355.3</v>
      </c>
      <c r="BL19" s="127">
        <f t="shared" si="13"/>
        <v>2015</v>
      </c>
      <c r="BM19" s="127">
        <f t="shared" ca="1" si="19"/>
        <v>642.9</v>
      </c>
      <c r="BN19" s="127">
        <f t="shared" ca="1" si="19"/>
        <v>699.10000000000014</v>
      </c>
      <c r="BO19" s="127">
        <f t="shared" ca="1" si="19"/>
        <v>441.3</v>
      </c>
      <c r="BP19" s="127">
        <f t="shared" ca="1" si="19"/>
        <v>164.10000000000002</v>
      </c>
      <c r="BQ19" s="127">
        <f t="shared" ca="1" si="19"/>
        <v>27.5</v>
      </c>
      <c r="BR19" s="127">
        <f t="shared" ca="1" si="19"/>
        <v>2.7000000000000011</v>
      </c>
      <c r="BS19" s="127">
        <f t="shared" ca="1" si="19"/>
        <v>0</v>
      </c>
      <c r="BT19" s="127">
        <f t="shared" ca="1" si="19"/>
        <v>0</v>
      </c>
      <c r="BU19" s="127">
        <f t="shared" ca="1" si="19"/>
        <v>0.19999999999999929</v>
      </c>
      <c r="BV19" s="127">
        <f t="shared" ca="1" si="19"/>
        <v>92.5</v>
      </c>
      <c r="BW19" s="127">
        <f t="shared" ca="1" si="19"/>
        <v>210.49999999999997</v>
      </c>
      <c r="BX19" s="127">
        <f t="shared" ca="1" si="19"/>
        <v>293.29999999999995</v>
      </c>
      <c r="BZ19" s="127">
        <f t="shared" si="14"/>
        <v>2015</v>
      </c>
      <c r="CA19" s="127">
        <f t="shared" ca="1" si="20"/>
        <v>580.89999999999986</v>
      </c>
      <c r="CB19" s="127">
        <f t="shared" ca="1" si="20"/>
        <v>643.10000000000014</v>
      </c>
      <c r="CC19" s="127">
        <f t="shared" ca="1" si="20"/>
        <v>379.29999999999995</v>
      </c>
      <c r="CD19" s="127">
        <f t="shared" ca="1" si="20"/>
        <v>110.19999999999997</v>
      </c>
      <c r="CE19" s="127">
        <f t="shared" ca="1" si="20"/>
        <v>12.199999999999998</v>
      </c>
      <c r="CF19" s="127">
        <f t="shared" ca="1" si="20"/>
        <v>0.40000000000000036</v>
      </c>
      <c r="CG19" s="127">
        <f t="shared" ca="1" si="20"/>
        <v>0</v>
      </c>
      <c r="CH19" s="127">
        <f t="shared" ca="1" si="20"/>
        <v>0</v>
      </c>
      <c r="CI19" s="127">
        <f t="shared" ca="1" si="20"/>
        <v>0</v>
      </c>
      <c r="CJ19" s="127">
        <f t="shared" ca="1" si="20"/>
        <v>52.9</v>
      </c>
      <c r="CK19" s="127">
        <f t="shared" ca="1" si="20"/>
        <v>160.4</v>
      </c>
      <c r="CL19" s="127">
        <f t="shared" ca="1" si="20"/>
        <v>232.09999999999994</v>
      </c>
      <c r="CN19" s="127">
        <f t="shared" si="15"/>
        <v>2015</v>
      </c>
      <c r="CO19" s="127">
        <f t="shared" ca="1" si="21"/>
        <v>518.9</v>
      </c>
      <c r="CP19" s="127">
        <f t="shared" ca="1" si="21"/>
        <v>587.1</v>
      </c>
      <c r="CQ19" s="127">
        <f t="shared" ca="1" si="21"/>
        <v>317.29999999999995</v>
      </c>
      <c r="CR19" s="127">
        <f t="shared" ca="1" si="21"/>
        <v>62</v>
      </c>
      <c r="CS19" s="127">
        <f t="shared" ca="1" si="21"/>
        <v>2.6999999999999975</v>
      </c>
      <c r="CT19" s="127">
        <f t="shared" ca="1" si="21"/>
        <v>0</v>
      </c>
      <c r="CU19" s="127">
        <f t="shared" ca="1" si="21"/>
        <v>0</v>
      </c>
      <c r="CV19" s="127">
        <f t="shared" ca="1" si="21"/>
        <v>0</v>
      </c>
      <c r="CW19" s="127">
        <f t="shared" ca="1" si="21"/>
        <v>0</v>
      </c>
      <c r="CX19" s="127">
        <f t="shared" ca="1" si="21"/>
        <v>23.499999999999996</v>
      </c>
      <c r="CY19" s="127">
        <f t="shared" ca="1" si="21"/>
        <v>114.4</v>
      </c>
      <c r="CZ19" s="127">
        <f t="shared" ca="1" si="21"/>
        <v>174.7</v>
      </c>
      <c r="DB19" s="127">
        <f t="shared" si="16"/>
        <v>2015</v>
      </c>
      <c r="DC19" s="127">
        <f t="shared" ca="1" si="9"/>
        <v>456.9</v>
      </c>
      <c r="DD19" s="127">
        <f t="shared" ca="1" si="9"/>
        <v>531.09999999999991</v>
      </c>
      <c r="DE19" s="127">
        <f t="shared" ca="1" si="9"/>
        <v>255.70000000000002</v>
      </c>
      <c r="DF19" s="127">
        <f t="shared" ca="1" si="9"/>
        <v>29.799999999999997</v>
      </c>
      <c r="DG19" s="127">
        <f t="shared" ca="1" si="9"/>
        <v>0</v>
      </c>
      <c r="DH19" s="127">
        <f t="shared" ca="1" si="9"/>
        <v>0</v>
      </c>
      <c r="DI19" s="127">
        <f t="shared" ca="1" si="9"/>
        <v>0</v>
      </c>
      <c r="DJ19" s="127">
        <f t="shared" ca="1" si="9"/>
        <v>0</v>
      </c>
      <c r="DK19" s="127">
        <f t="shared" ca="1" si="9"/>
        <v>0</v>
      </c>
      <c r="DL19" s="127">
        <f t="shared" ca="1" si="9"/>
        <v>8.1999999999999993</v>
      </c>
      <c r="DM19" s="127">
        <f t="shared" ca="1" si="9"/>
        <v>77.900000000000006</v>
      </c>
      <c r="DN19" s="127">
        <f t="shared" ca="1" si="9"/>
        <v>121.69999999999999</v>
      </c>
    </row>
    <row r="20" spans="1:118" x14ac:dyDescent="0.2">
      <c r="A20" s="127">
        <v>2002</v>
      </c>
      <c r="B20" s="130">
        <v>7</v>
      </c>
      <c r="C20" s="130">
        <v>24.487096774193549</v>
      </c>
      <c r="D20" s="131">
        <v>0.80000000000000426</v>
      </c>
      <c r="E20" s="131">
        <v>139.90000000000003</v>
      </c>
      <c r="F20" s="131">
        <v>0</v>
      </c>
      <c r="G20" s="131">
        <v>201.10000000000002</v>
      </c>
      <c r="H20" s="131">
        <v>0</v>
      </c>
      <c r="I20" s="131">
        <v>263.10000000000002</v>
      </c>
      <c r="J20" s="131">
        <v>0</v>
      </c>
      <c r="K20" s="131">
        <v>325.10000000000008</v>
      </c>
      <c r="L20" s="131">
        <v>0</v>
      </c>
      <c r="M20" s="131">
        <v>387.09999999999997</v>
      </c>
      <c r="N20" s="131">
        <v>0</v>
      </c>
      <c r="O20" s="131">
        <v>449.09999999999997</v>
      </c>
      <c r="P20" s="131">
        <v>0</v>
      </c>
      <c r="Q20" s="131">
        <v>511.09999999999997</v>
      </c>
      <c r="R20" s="131"/>
      <c r="S20" s="131"/>
      <c r="T20" s="131"/>
      <c r="V20" s="127">
        <f t="shared" si="10"/>
        <v>2016</v>
      </c>
      <c r="W20" s="127">
        <f t="shared" ca="1" si="0"/>
        <v>706.9</v>
      </c>
      <c r="X20" s="127">
        <f t="shared" ca="1" si="1"/>
        <v>608.20000000000005</v>
      </c>
      <c r="Y20" s="127">
        <f t="shared" ca="1" si="1"/>
        <v>466.4</v>
      </c>
      <c r="Z20" s="127">
        <f t="shared" ca="1" si="1"/>
        <v>392.09999999999991</v>
      </c>
      <c r="AA20" s="127">
        <f t="shared" ca="1" si="1"/>
        <v>173.29999999999998</v>
      </c>
      <c r="AB20" s="127">
        <f t="shared" ca="1" si="1"/>
        <v>18.400000000000002</v>
      </c>
      <c r="AC20" s="127">
        <f t="shared" ca="1" si="1"/>
        <v>2.6000000000000014</v>
      </c>
      <c r="AD20" s="127">
        <f t="shared" ca="1" si="1"/>
        <v>1.3999999999999986</v>
      </c>
      <c r="AE20" s="127">
        <f t="shared" ca="1" si="1"/>
        <v>48.5</v>
      </c>
      <c r="AF20" s="127">
        <f t="shared" ca="1" si="1"/>
        <v>224.6</v>
      </c>
      <c r="AG20" s="127">
        <f t="shared" ca="1" si="1"/>
        <v>375.3</v>
      </c>
      <c r="AH20" s="127">
        <f t="shared" ca="1" si="1"/>
        <v>685.19999999999993</v>
      </c>
      <c r="AJ20" s="127">
        <f t="shared" si="11"/>
        <v>2016</v>
      </c>
      <c r="AK20" s="127">
        <f t="shared" ca="1" si="17"/>
        <v>644.9</v>
      </c>
      <c r="AL20" s="127">
        <f t="shared" ca="1" si="17"/>
        <v>550.19999999999993</v>
      </c>
      <c r="AM20" s="127">
        <f t="shared" ca="1" si="17"/>
        <v>404.4</v>
      </c>
      <c r="AN20" s="127">
        <f t="shared" ca="1" si="17"/>
        <v>332.09999999999997</v>
      </c>
      <c r="AO20" s="127">
        <f t="shared" ca="1" si="17"/>
        <v>126.6</v>
      </c>
      <c r="AP20" s="127">
        <f t="shared" ca="1" si="17"/>
        <v>6.7999999999999989</v>
      </c>
      <c r="AQ20" s="127">
        <f t="shared" ca="1" si="17"/>
        <v>0</v>
      </c>
      <c r="AR20" s="127">
        <f t="shared" ca="1" si="17"/>
        <v>0</v>
      </c>
      <c r="AS20" s="127">
        <f t="shared" ca="1" si="17"/>
        <v>19.399999999999995</v>
      </c>
      <c r="AT20" s="127">
        <f t="shared" ca="1" si="17"/>
        <v>173.20000000000002</v>
      </c>
      <c r="AU20" s="127">
        <f t="shared" ca="1" si="17"/>
        <v>315.30000000000007</v>
      </c>
      <c r="AV20" s="127">
        <f t="shared" ca="1" si="17"/>
        <v>623.19999999999993</v>
      </c>
      <c r="AW20" s="147">
        <f t="shared" ca="1" si="8"/>
        <v>3196.1</v>
      </c>
      <c r="AX20" s="127">
        <f t="shared" si="12"/>
        <v>2016</v>
      </c>
      <c r="AY20" s="127">
        <f t="shared" ca="1" si="18"/>
        <v>582.9</v>
      </c>
      <c r="AZ20" s="127">
        <f t="shared" ca="1" si="18"/>
        <v>492.2</v>
      </c>
      <c r="BA20" s="127">
        <f t="shared" ca="1" si="18"/>
        <v>342.4</v>
      </c>
      <c r="BB20" s="127">
        <f t="shared" ca="1" si="18"/>
        <v>272.10000000000002</v>
      </c>
      <c r="BC20" s="127">
        <f t="shared" ca="1" si="18"/>
        <v>82.399999999999991</v>
      </c>
      <c r="BD20" s="127">
        <f t="shared" ca="1" si="18"/>
        <v>0.90000000000000036</v>
      </c>
      <c r="BE20" s="127">
        <f t="shared" ca="1" si="18"/>
        <v>0</v>
      </c>
      <c r="BF20" s="127">
        <f t="shared" ca="1" si="18"/>
        <v>0</v>
      </c>
      <c r="BG20" s="127">
        <f t="shared" ca="1" si="18"/>
        <v>3.5999999999999979</v>
      </c>
      <c r="BH20" s="127">
        <f t="shared" ca="1" si="18"/>
        <v>127</v>
      </c>
      <c r="BI20" s="127">
        <f t="shared" ca="1" si="18"/>
        <v>255.4</v>
      </c>
      <c r="BJ20" s="127">
        <f t="shared" ca="1" si="18"/>
        <v>561.20000000000005</v>
      </c>
      <c r="BL20" s="127">
        <f t="shared" si="13"/>
        <v>2016</v>
      </c>
      <c r="BM20" s="127">
        <f t="shared" ca="1" si="19"/>
        <v>520.9</v>
      </c>
      <c r="BN20" s="127">
        <f t="shared" ca="1" si="19"/>
        <v>434.20000000000005</v>
      </c>
      <c r="BO20" s="127">
        <f t="shared" ca="1" si="19"/>
        <v>281</v>
      </c>
      <c r="BP20" s="127">
        <f t="shared" ca="1" si="19"/>
        <v>214.6</v>
      </c>
      <c r="BQ20" s="127">
        <f t="shared" ca="1" si="19"/>
        <v>46.099999999999994</v>
      </c>
      <c r="BR20" s="127">
        <f t="shared" ca="1" si="19"/>
        <v>0</v>
      </c>
      <c r="BS20" s="127">
        <f t="shared" ca="1" si="19"/>
        <v>0</v>
      </c>
      <c r="BT20" s="127">
        <f t="shared" ca="1" si="19"/>
        <v>0</v>
      </c>
      <c r="BU20" s="127">
        <f t="shared" ca="1" si="19"/>
        <v>0.19999999999999929</v>
      </c>
      <c r="BV20" s="127">
        <f t="shared" ca="1" si="19"/>
        <v>88.9</v>
      </c>
      <c r="BW20" s="127">
        <f t="shared" ca="1" si="19"/>
        <v>200.29999999999998</v>
      </c>
      <c r="BX20" s="127">
        <f t="shared" ca="1" si="19"/>
        <v>499.20000000000005</v>
      </c>
      <c r="BZ20" s="127">
        <f t="shared" si="14"/>
        <v>2016</v>
      </c>
      <c r="CA20" s="127">
        <f t="shared" ca="1" si="20"/>
        <v>458.89999999999992</v>
      </c>
      <c r="CB20" s="127">
        <f t="shared" ca="1" si="20"/>
        <v>376.20000000000005</v>
      </c>
      <c r="CC20" s="127">
        <f t="shared" ca="1" si="20"/>
        <v>224.50000000000003</v>
      </c>
      <c r="CD20" s="127">
        <f t="shared" ca="1" si="20"/>
        <v>161.5</v>
      </c>
      <c r="CE20" s="127">
        <f t="shared" ca="1" si="20"/>
        <v>20.099999999999998</v>
      </c>
      <c r="CF20" s="127">
        <f t="shared" ca="1" si="20"/>
        <v>0</v>
      </c>
      <c r="CG20" s="127">
        <f t="shared" ca="1" si="20"/>
        <v>0</v>
      </c>
      <c r="CH20" s="127">
        <f t="shared" ca="1" si="20"/>
        <v>0</v>
      </c>
      <c r="CI20" s="127">
        <f t="shared" ca="1" si="20"/>
        <v>0</v>
      </c>
      <c r="CJ20" s="127">
        <f t="shared" ca="1" si="20"/>
        <v>55.9</v>
      </c>
      <c r="CK20" s="127">
        <f t="shared" ca="1" si="20"/>
        <v>146.9</v>
      </c>
      <c r="CL20" s="127">
        <f t="shared" ca="1" si="20"/>
        <v>437.20000000000005</v>
      </c>
      <c r="CN20" s="127">
        <f t="shared" si="15"/>
        <v>2016</v>
      </c>
      <c r="CO20" s="127">
        <f t="shared" ca="1" si="21"/>
        <v>396.9</v>
      </c>
      <c r="CP20" s="127">
        <f t="shared" ca="1" si="21"/>
        <v>318.20000000000005</v>
      </c>
      <c r="CQ20" s="127">
        <f t="shared" ca="1" si="21"/>
        <v>170.50000000000006</v>
      </c>
      <c r="CR20" s="127">
        <f t="shared" ca="1" si="21"/>
        <v>113.10000000000001</v>
      </c>
      <c r="CS20" s="127">
        <f t="shared" ca="1" si="21"/>
        <v>7.0000000000000009</v>
      </c>
      <c r="CT20" s="127">
        <f t="shared" ca="1" si="21"/>
        <v>0</v>
      </c>
      <c r="CU20" s="127">
        <f t="shared" ca="1" si="21"/>
        <v>0</v>
      </c>
      <c r="CV20" s="127">
        <f t="shared" ca="1" si="21"/>
        <v>0</v>
      </c>
      <c r="CW20" s="127">
        <f t="shared" ca="1" si="21"/>
        <v>0</v>
      </c>
      <c r="CX20" s="127">
        <f t="shared" ca="1" si="21"/>
        <v>29.8</v>
      </c>
      <c r="CY20" s="127">
        <f t="shared" ca="1" si="21"/>
        <v>98.199999999999989</v>
      </c>
      <c r="CZ20" s="127">
        <f t="shared" ca="1" si="21"/>
        <v>375.2</v>
      </c>
      <c r="DB20" s="127">
        <f t="shared" si="16"/>
        <v>2016</v>
      </c>
      <c r="DC20" s="127">
        <f t="shared" ca="1" si="9"/>
        <v>334.9</v>
      </c>
      <c r="DD20" s="127">
        <f t="shared" ca="1" si="9"/>
        <v>262.50000000000006</v>
      </c>
      <c r="DE20" s="127">
        <f t="shared" ca="1" si="9"/>
        <v>121.50000000000001</v>
      </c>
      <c r="DF20" s="127">
        <f t="shared" ca="1" si="9"/>
        <v>74.000000000000014</v>
      </c>
      <c r="DG20" s="127">
        <f t="shared" ca="1" si="9"/>
        <v>2.8</v>
      </c>
      <c r="DH20" s="127">
        <f t="shared" ca="1" si="9"/>
        <v>0</v>
      </c>
      <c r="DI20" s="127">
        <f t="shared" ca="1" si="9"/>
        <v>0</v>
      </c>
      <c r="DJ20" s="127">
        <f t="shared" ca="1" si="9"/>
        <v>0</v>
      </c>
      <c r="DK20" s="127">
        <f t="shared" ca="1" si="9"/>
        <v>0</v>
      </c>
      <c r="DL20" s="127">
        <f t="shared" ca="1" si="9"/>
        <v>11.399999999999999</v>
      </c>
      <c r="DM20" s="127">
        <f t="shared" ca="1" si="9"/>
        <v>60.900000000000006</v>
      </c>
      <c r="DN20" s="127">
        <f t="shared" ca="1" si="9"/>
        <v>313.2</v>
      </c>
    </row>
    <row r="21" spans="1:118" x14ac:dyDescent="0.2">
      <c r="A21" s="127">
        <v>2002</v>
      </c>
      <c r="B21" s="130">
        <v>8</v>
      </c>
      <c r="C21" s="130">
        <v>22.812903225806455</v>
      </c>
      <c r="D21" s="131">
        <v>5.1000000000000014</v>
      </c>
      <c r="E21" s="131">
        <v>92.3</v>
      </c>
      <c r="F21" s="131">
        <v>0</v>
      </c>
      <c r="G21" s="131">
        <v>149.20000000000002</v>
      </c>
      <c r="H21" s="131">
        <v>0</v>
      </c>
      <c r="I21" s="131">
        <v>211.20000000000002</v>
      </c>
      <c r="J21" s="131">
        <v>0</v>
      </c>
      <c r="K21" s="131">
        <v>273.2</v>
      </c>
      <c r="L21" s="131">
        <v>0</v>
      </c>
      <c r="M21" s="131">
        <v>335.2</v>
      </c>
      <c r="N21" s="131">
        <v>0</v>
      </c>
      <c r="O21" s="131">
        <v>397.20000000000005</v>
      </c>
      <c r="P21" s="131">
        <v>0</v>
      </c>
      <c r="Q21" s="131">
        <v>459.2000000000001</v>
      </c>
      <c r="R21" s="131"/>
      <c r="S21" s="131"/>
      <c r="T21" s="131"/>
      <c r="V21" s="127">
        <f t="shared" si="10"/>
        <v>2017</v>
      </c>
      <c r="W21" s="127">
        <f t="shared" ca="1" si="0"/>
        <v>646.20000000000005</v>
      </c>
      <c r="X21" s="127">
        <f t="shared" ref="X21:AH24" ca="1" si="22">OFFSET($D$2,(ROW()-5)*12+COLUMN()-23,0)</f>
        <v>496.69999999999987</v>
      </c>
      <c r="Y21" s="127">
        <f t="shared" ca="1" si="22"/>
        <v>569.30000000000007</v>
      </c>
      <c r="Z21" s="127">
        <f t="shared" ca="1" si="22"/>
        <v>259.50000000000006</v>
      </c>
      <c r="AA21" s="127">
        <f t="shared" ca="1" si="22"/>
        <v>187.8</v>
      </c>
      <c r="AB21" s="127">
        <f t="shared" ca="1" si="22"/>
        <v>31.899999999999995</v>
      </c>
      <c r="AC21" s="127">
        <f t="shared" ca="1" si="22"/>
        <v>1</v>
      </c>
      <c r="AD21" s="127">
        <f t="shared" ca="1" si="22"/>
        <v>22.899999999999995</v>
      </c>
      <c r="AE21" s="127">
        <f t="shared" ca="1" si="22"/>
        <v>79.399999999999991</v>
      </c>
      <c r="AF21" s="127">
        <f t="shared" ca="1" si="22"/>
        <v>206</v>
      </c>
      <c r="AG21" s="127">
        <f t="shared" ca="1" si="22"/>
        <v>473.8</v>
      </c>
      <c r="AH21" s="127">
        <f t="shared" ca="1" si="22"/>
        <v>734.00000000000011</v>
      </c>
      <c r="AJ21" s="127">
        <f t="shared" si="11"/>
        <v>2017</v>
      </c>
      <c r="AK21" s="127">
        <f t="shared" ca="1" si="17"/>
        <v>584.19999999999993</v>
      </c>
      <c r="AL21" s="127">
        <f t="shared" ca="1" si="17"/>
        <v>440.69999999999987</v>
      </c>
      <c r="AM21" s="127">
        <f t="shared" ca="1" si="17"/>
        <v>507.30000000000007</v>
      </c>
      <c r="AN21" s="127">
        <f t="shared" ca="1" si="17"/>
        <v>200.50000000000003</v>
      </c>
      <c r="AO21" s="127">
        <f t="shared" ca="1" si="17"/>
        <v>135.5</v>
      </c>
      <c r="AP21" s="127">
        <f t="shared" ca="1" si="17"/>
        <v>9.1999999999999957</v>
      </c>
      <c r="AQ21" s="127">
        <f t="shared" ca="1" si="17"/>
        <v>0</v>
      </c>
      <c r="AR21" s="127">
        <f t="shared" ca="1" si="17"/>
        <v>6.6999999999999957</v>
      </c>
      <c r="AS21" s="127">
        <f t="shared" ca="1" si="17"/>
        <v>47.5</v>
      </c>
      <c r="AT21" s="127">
        <f t="shared" ca="1" si="17"/>
        <v>151.59999999999997</v>
      </c>
      <c r="AU21" s="127">
        <f t="shared" ca="1" si="17"/>
        <v>413.8</v>
      </c>
      <c r="AV21" s="127">
        <f t="shared" ca="1" si="17"/>
        <v>672.00000000000011</v>
      </c>
      <c r="AW21" s="147">
        <f t="shared" ca="1" si="8"/>
        <v>3169</v>
      </c>
      <c r="AX21" s="127">
        <f t="shared" si="12"/>
        <v>2017</v>
      </c>
      <c r="AY21" s="127">
        <f t="shared" ca="1" si="18"/>
        <v>522.19999999999993</v>
      </c>
      <c r="AZ21" s="127">
        <f t="shared" ca="1" si="18"/>
        <v>384.69999999999987</v>
      </c>
      <c r="BA21" s="127">
        <f t="shared" ca="1" si="18"/>
        <v>445.30000000000013</v>
      </c>
      <c r="BB21" s="127">
        <f t="shared" ca="1" si="18"/>
        <v>147.39999999999995</v>
      </c>
      <c r="BC21" s="127">
        <f t="shared" ca="1" si="18"/>
        <v>93.700000000000017</v>
      </c>
      <c r="BD21" s="127">
        <f t="shared" ca="1" si="18"/>
        <v>0</v>
      </c>
      <c r="BE21" s="127">
        <f t="shared" ca="1" si="18"/>
        <v>0</v>
      </c>
      <c r="BF21" s="127">
        <f t="shared" ca="1" si="18"/>
        <v>0.5</v>
      </c>
      <c r="BG21" s="127">
        <f t="shared" ca="1" si="18"/>
        <v>22.1</v>
      </c>
      <c r="BH21" s="127">
        <f t="shared" ca="1" si="18"/>
        <v>105.10000000000001</v>
      </c>
      <c r="BI21" s="127">
        <f t="shared" ca="1" si="18"/>
        <v>353.8</v>
      </c>
      <c r="BJ21" s="127">
        <f t="shared" ca="1" si="18"/>
        <v>610.00000000000011</v>
      </c>
      <c r="BL21" s="127">
        <f t="shared" si="13"/>
        <v>2017</v>
      </c>
      <c r="BM21" s="127">
        <f t="shared" ca="1" si="19"/>
        <v>460.19999999999993</v>
      </c>
      <c r="BN21" s="127">
        <f t="shared" ca="1" si="19"/>
        <v>328.69999999999993</v>
      </c>
      <c r="BO21" s="127">
        <f t="shared" ca="1" si="19"/>
        <v>383.30000000000007</v>
      </c>
      <c r="BP21" s="127">
        <f t="shared" ca="1" si="19"/>
        <v>100.79999999999997</v>
      </c>
      <c r="BQ21" s="127">
        <f t="shared" ca="1" si="19"/>
        <v>58.300000000000004</v>
      </c>
      <c r="BR21" s="127">
        <f t="shared" ca="1" si="19"/>
        <v>0</v>
      </c>
      <c r="BS21" s="127">
        <f t="shared" ca="1" si="19"/>
        <v>0</v>
      </c>
      <c r="BT21" s="127">
        <f t="shared" ca="1" si="19"/>
        <v>0</v>
      </c>
      <c r="BU21" s="127">
        <f t="shared" ca="1" si="19"/>
        <v>4.8000000000000007</v>
      </c>
      <c r="BV21" s="127">
        <f t="shared" ca="1" si="19"/>
        <v>71</v>
      </c>
      <c r="BW21" s="127">
        <f t="shared" ca="1" si="19"/>
        <v>293.80000000000007</v>
      </c>
      <c r="BX21" s="127">
        <f t="shared" ca="1" si="19"/>
        <v>548.00000000000011</v>
      </c>
      <c r="BZ21" s="127">
        <f t="shared" si="14"/>
        <v>2017</v>
      </c>
      <c r="CA21" s="127">
        <f t="shared" ca="1" si="20"/>
        <v>398.19999999999993</v>
      </c>
      <c r="CB21" s="127">
        <f t="shared" ca="1" si="20"/>
        <v>272.7</v>
      </c>
      <c r="CC21" s="127">
        <f t="shared" ca="1" si="20"/>
        <v>322.30000000000007</v>
      </c>
      <c r="CD21" s="127">
        <f t="shared" ca="1" si="20"/>
        <v>59.800000000000011</v>
      </c>
      <c r="CE21" s="127">
        <f t="shared" ca="1" si="20"/>
        <v>32.1</v>
      </c>
      <c r="CF21" s="127">
        <f t="shared" ca="1" si="20"/>
        <v>0</v>
      </c>
      <c r="CG21" s="127">
        <f t="shared" ca="1" si="20"/>
        <v>0</v>
      </c>
      <c r="CH21" s="127">
        <f t="shared" ca="1" si="20"/>
        <v>0</v>
      </c>
      <c r="CI21" s="127">
        <f t="shared" ca="1" si="20"/>
        <v>0.59999999999999964</v>
      </c>
      <c r="CJ21" s="127">
        <f t="shared" ca="1" si="20"/>
        <v>45</v>
      </c>
      <c r="CK21" s="127">
        <f t="shared" ca="1" si="20"/>
        <v>234.20000000000005</v>
      </c>
      <c r="CL21" s="127">
        <f t="shared" ca="1" si="20"/>
        <v>486.00000000000006</v>
      </c>
      <c r="CN21" s="127">
        <f t="shared" si="15"/>
        <v>2017</v>
      </c>
      <c r="CO21" s="127">
        <f t="shared" ca="1" si="21"/>
        <v>336.2</v>
      </c>
      <c r="CP21" s="127">
        <f t="shared" ca="1" si="21"/>
        <v>221.09999999999997</v>
      </c>
      <c r="CQ21" s="127">
        <f t="shared" ca="1" si="21"/>
        <v>264</v>
      </c>
      <c r="CR21" s="127">
        <f t="shared" ca="1" si="21"/>
        <v>28</v>
      </c>
      <c r="CS21" s="127">
        <f t="shared" ca="1" si="21"/>
        <v>14.2</v>
      </c>
      <c r="CT21" s="127">
        <f t="shared" ca="1" si="21"/>
        <v>0</v>
      </c>
      <c r="CU21" s="127">
        <f t="shared" ca="1" si="21"/>
        <v>0</v>
      </c>
      <c r="CV21" s="127">
        <f t="shared" ca="1" si="21"/>
        <v>0</v>
      </c>
      <c r="CW21" s="127">
        <f t="shared" ca="1" si="21"/>
        <v>0</v>
      </c>
      <c r="CX21" s="127">
        <f t="shared" ca="1" si="21"/>
        <v>27.4</v>
      </c>
      <c r="CY21" s="127">
        <f t="shared" ca="1" si="21"/>
        <v>177.9</v>
      </c>
      <c r="CZ21" s="127">
        <f t="shared" ca="1" si="21"/>
        <v>424.00000000000006</v>
      </c>
      <c r="DB21" s="127">
        <f t="shared" si="16"/>
        <v>2017</v>
      </c>
      <c r="DC21" s="127">
        <f t="shared" ca="1" si="9"/>
        <v>274.2</v>
      </c>
      <c r="DD21" s="127">
        <f t="shared" ca="1" si="9"/>
        <v>174.9</v>
      </c>
      <c r="DE21" s="127">
        <f t="shared" ca="1" si="9"/>
        <v>207.1</v>
      </c>
      <c r="DF21" s="127">
        <f t="shared" ca="1" si="9"/>
        <v>9.5</v>
      </c>
      <c r="DG21" s="127">
        <f t="shared" ca="1" si="9"/>
        <v>2.0000000000000009</v>
      </c>
      <c r="DH21" s="127">
        <f t="shared" ca="1" si="9"/>
        <v>0</v>
      </c>
      <c r="DI21" s="127">
        <f t="shared" ca="1" si="9"/>
        <v>0</v>
      </c>
      <c r="DJ21" s="127">
        <f t="shared" ca="1" si="9"/>
        <v>0</v>
      </c>
      <c r="DK21" s="127">
        <f t="shared" ca="1" si="9"/>
        <v>0</v>
      </c>
      <c r="DL21" s="127">
        <f t="shared" ca="1" si="9"/>
        <v>15.099999999999998</v>
      </c>
      <c r="DM21" s="127">
        <f t="shared" ca="1" si="9"/>
        <v>123.89999999999999</v>
      </c>
      <c r="DN21" s="127">
        <f t="shared" ca="1" si="9"/>
        <v>362.00000000000006</v>
      </c>
    </row>
    <row r="22" spans="1:118" x14ac:dyDescent="0.2">
      <c r="A22" s="127">
        <v>2002</v>
      </c>
      <c r="B22" s="130">
        <v>9</v>
      </c>
      <c r="C22" s="130">
        <v>20.693333333333335</v>
      </c>
      <c r="D22" s="131">
        <v>38.499999999999993</v>
      </c>
      <c r="E22" s="131">
        <v>59.3</v>
      </c>
      <c r="F22" s="131">
        <v>17.099999999999998</v>
      </c>
      <c r="G22" s="131">
        <v>97.90000000000002</v>
      </c>
      <c r="H22" s="131">
        <v>5.5</v>
      </c>
      <c r="I22" s="131">
        <v>146.29999999999998</v>
      </c>
      <c r="J22" s="131">
        <v>0</v>
      </c>
      <c r="K22" s="131">
        <v>200.79999999999998</v>
      </c>
      <c r="L22" s="131">
        <v>0</v>
      </c>
      <c r="M22" s="131">
        <v>260.8</v>
      </c>
      <c r="N22" s="131">
        <v>0</v>
      </c>
      <c r="O22" s="131">
        <v>320.8</v>
      </c>
      <c r="P22" s="131">
        <v>0</v>
      </c>
      <c r="Q22" s="131">
        <v>380.8</v>
      </c>
      <c r="R22" s="131"/>
      <c r="S22" s="131"/>
      <c r="T22" s="131"/>
      <c r="V22" s="127">
        <f t="shared" si="10"/>
        <v>2018</v>
      </c>
      <c r="W22" s="127">
        <f t="shared" ca="1" si="0"/>
        <v>767.60000000000014</v>
      </c>
      <c r="X22" s="127">
        <f t="shared" ca="1" si="22"/>
        <v>600.5</v>
      </c>
      <c r="Y22" s="127">
        <f t="shared" ca="1" si="22"/>
        <v>596.4</v>
      </c>
      <c r="Z22" s="127">
        <f t="shared" ca="1" si="22"/>
        <v>455.59999999999997</v>
      </c>
      <c r="AA22" s="127">
        <f t="shared" ca="1" si="22"/>
        <v>105.4</v>
      </c>
      <c r="AB22" s="127">
        <f t="shared" ca="1" si="22"/>
        <v>25.500000000000004</v>
      </c>
      <c r="AC22" s="127">
        <f t="shared" ca="1" si="22"/>
        <v>2.5</v>
      </c>
      <c r="AD22" s="127">
        <f t="shared" ca="1" si="22"/>
        <v>2.8999999999999986</v>
      </c>
      <c r="AE22" s="127">
        <f t="shared" ca="1" si="22"/>
        <v>69.3</v>
      </c>
      <c r="AF22" s="127">
        <f t="shared" ca="1" si="22"/>
        <v>294.60000000000002</v>
      </c>
      <c r="AG22" s="127">
        <f t="shared" ca="1" si="22"/>
        <v>544.6</v>
      </c>
      <c r="AH22" s="127">
        <f t="shared" ca="1" si="22"/>
        <v>595.80000000000007</v>
      </c>
      <c r="AJ22" s="127">
        <f t="shared" si="11"/>
        <v>2018</v>
      </c>
      <c r="AK22" s="127">
        <f t="shared" ca="1" si="17"/>
        <v>705.60000000000014</v>
      </c>
      <c r="AL22" s="127">
        <f t="shared" ca="1" si="17"/>
        <v>544.49999999999989</v>
      </c>
      <c r="AM22" s="127">
        <f t="shared" ca="1" si="17"/>
        <v>534.40000000000009</v>
      </c>
      <c r="AN22" s="127">
        <f t="shared" ca="1" si="17"/>
        <v>395.6</v>
      </c>
      <c r="AO22" s="127">
        <f t="shared" ca="1" si="17"/>
        <v>62.900000000000006</v>
      </c>
      <c r="AP22" s="127">
        <f t="shared" ca="1" si="17"/>
        <v>7.6000000000000014</v>
      </c>
      <c r="AQ22" s="127">
        <f t="shared" ca="1" si="17"/>
        <v>0.19999999999999929</v>
      </c>
      <c r="AR22" s="127">
        <f t="shared" ca="1" si="17"/>
        <v>0</v>
      </c>
      <c r="AS22" s="127">
        <f t="shared" ca="1" si="17"/>
        <v>41.400000000000006</v>
      </c>
      <c r="AT22" s="127">
        <f t="shared" ca="1" si="17"/>
        <v>242.29999999999998</v>
      </c>
      <c r="AU22" s="127">
        <f t="shared" ca="1" si="17"/>
        <v>484.60000000000008</v>
      </c>
      <c r="AV22" s="127">
        <f t="shared" ca="1" si="17"/>
        <v>533.80000000000007</v>
      </c>
      <c r="AW22" s="147">
        <f t="shared" ca="1" si="8"/>
        <v>3552.9</v>
      </c>
      <c r="AX22" s="127">
        <f t="shared" si="12"/>
        <v>2018</v>
      </c>
      <c r="AY22" s="127">
        <f t="shared" ca="1" si="18"/>
        <v>643.6</v>
      </c>
      <c r="AZ22" s="127">
        <f t="shared" ca="1" si="18"/>
        <v>488.49999999999994</v>
      </c>
      <c r="BA22" s="127">
        <f t="shared" ca="1" si="18"/>
        <v>472.40000000000003</v>
      </c>
      <c r="BB22" s="127">
        <f t="shared" ca="1" si="18"/>
        <v>335.59999999999997</v>
      </c>
      <c r="BC22" s="127">
        <f t="shared" ca="1" si="18"/>
        <v>33.099999999999994</v>
      </c>
      <c r="BD22" s="127">
        <f t="shared" ca="1" si="18"/>
        <v>2.5</v>
      </c>
      <c r="BE22" s="127">
        <f t="shared" ca="1" si="18"/>
        <v>0</v>
      </c>
      <c r="BF22" s="127">
        <f t="shared" ca="1" si="18"/>
        <v>0</v>
      </c>
      <c r="BG22" s="127">
        <f t="shared" ca="1" si="18"/>
        <v>21.2</v>
      </c>
      <c r="BH22" s="127">
        <f t="shared" ca="1" si="18"/>
        <v>192.49999999999997</v>
      </c>
      <c r="BI22" s="127">
        <f t="shared" ca="1" si="18"/>
        <v>424.60000000000014</v>
      </c>
      <c r="BJ22" s="127">
        <f t="shared" ca="1" si="18"/>
        <v>471.79999999999995</v>
      </c>
      <c r="BL22" s="127">
        <f t="shared" si="13"/>
        <v>2018</v>
      </c>
      <c r="BM22" s="127">
        <f t="shared" ca="1" si="19"/>
        <v>581.6</v>
      </c>
      <c r="BN22" s="127">
        <f t="shared" ca="1" si="19"/>
        <v>432.49999999999994</v>
      </c>
      <c r="BO22" s="127">
        <f t="shared" ca="1" si="19"/>
        <v>410.40000000000009</v>
      </c>
      <c r="BP22" s="127">
        <f t="shared" ca="1" si="19"/>
        <v>275.70000000000005</v>
      </c>
      <c r="BQ22" s="127">
        <f t="shared" ca="1" si="19"/>
        <v>16.699999999999996</v>
      </c>
      <c r="BR22" s="127">
        <f t="shared" ca="1" si="19"/>
        <v>0</v>
      </c>
      <c r="BS22" s="127">
        <f t="shared" ca="1" si="19"/>
        <v>0</v>
      </c>
      <c r="BT22" s="127">
        <f t="shared" ca="1" si="19"/>
        <v>0</v>
      </c>
      <c r="BU22" s="127">
        <f t="shared" ca="1" si="19"/>
        <v>7.4000000000000021</v>
      </c>
      <c r="BV22" s="127">
        <f t="shared" ca="1" si="19"/>
        <v>145.99999999999997</v>
      </c>
      <c r="BW22" s="127">
        <f t="shared" ca="1" si="19"/>
        <v>364.60000000000008</v>
      </c>
      <c r="BX22" s="127">
        <f t="shared" ca="1" si="19"/>
        <v>409.79999999999995</v>
      </c>
      <c r="BZ22" s="127">
        <f t="shared" si="14"/>
        <v>2018</v>
      </c>
      <c r="CA22" s="127">
        <f t="shared" ca="1" si="20"/>
        <v>519.59999999999991</v>
      </c>
      <c r="CB22" s="127">
        <f t="shared" ca="1" si="20"/>
        <v>377.5</v>
      </c>
      <c r="CC22" s="127">
        <f t="shared" ca="1" si="20"/>
        <v>348.40000000000009</v>
      </c>
      <c r="CD22" s="127">
        <f t="shared" ca="1" si="20"/>
        <v>217.89999999999998</v>
      </c>
      <c r="CE22" s="127">
        <f t="shared" ca="1" si="20"/>
        <v>9.1</v>
      </c>
      <c r="CF22" s="127">
        <f t="shared" ca="1" si="20"/>
        <v>0</v>
      </c>
      <c r="CG22" s="127">
        <f t="shared" ca="1" si="20"/>
        <v>0</v>
      </c>
      <c r="CH22" s="127">
        <f t="shared" ca="1" si="20"/>
        <v>0</v>
      </c>
      <c r="CI22" s="127">
        <f t="shared" ca="1" si="20"/>
        <v>0.30000000000000071</v>
      </c>
      <c r="CJ22" s="127">
        <f t="shared" ca="1" si="20"/>
        <v>104.00000000000001</v>
      </c>
      <c r="CK22" s="127">
        <f t="shared" ca="1" si="20"/>
        <v>304.60000000000002</v>
      </c>
      <c r="CL22" s="127">
        <f t="shared" ca="1" si="20"/>
        <v>347.7999999999999</v>
      </c>
      <c r="CN22" s="127">
        <f t="shared" si="15"/>
        <v>2018</v>
      </c>
      <c r="CO22" s="127">
        <f t="shared" ca="1" si="21"/>
        <v>457.59999999999985</v>
      </c>
      <c r="CP22" s="127">
        <f t="shared" ca="1" si="21"/>
        <v>323.5</v>
      </c>
      <c r="CQ22" s="127">
        <f t="shared" ca="1" si="21"/>
        <v>286.40000000000003</v>
      </c>
      <c r="CR22" s="127">
        <f t="shared" ca="1" si="21"/>
        <v>165</v>
      </c>
      <c r="CS22" s="127">
        <f t="shared" ca="1" si="21"/>
        <v>4.7</v>
      </c>
      <c r="CT22" s="127">
        <f t="shared" ca="1" si="21"/>
        <v>0</v>
      </c>
      <c r="CU22" s="127">
        <f t="shared" ca="1" si="21"/>
        <v>0</v>
      </c>
      <c r="CV22" s="127">
        <f t="shared" ca="1" si="21"/>
        <v>0</v>
      </c>
      <c r="CW22" s="127">
        <f t="shared" ca="1" si="21"/>
        <v>0</v>
      </c>
      <c r="CX22" s="127">
        <f t="shared" ca="1" si="21"/>
        <v>64</v>
      </c>
      <c r="CY22" s="127">
        <f t="shared" ca="1" si="21"/>
        <v>245.09999999999997</v>
      </c>
      <c r="CZ22" s="127">
        <f t="shared" ca="1" si="21"/>
        <v>285.8</v>
      </c>
      <c r="DB22" s="127">
        <f t="shared" si="16"/>
        <v>2018</v>
      </c>
      <c r="DC22" s="127">
        <f t="shared" ca="1" si="9"/>
        <v>396.89999999999986</v>
      </c>
      <c r="DD22" s="127">
        <f t="shared" ca="1" si="9"/>
        <v>270.39999999999998</v>
      </c>
      <c r="DE22" s="127">
        <f t="shared" ca="1" si="9"/>
        <v>224.4</v>
      </c>
      <c r="DF22" s="127">
        <f t="shared" ca="1" si="9"/>
        <v>116.89999999999999</v>
      </c>
      <c r="DG22" s="127">
        <f t="shared" ca="1" si="9"/>
        <v>1.2000000000000002</v>
      </c>
      <c r="DH22" s="127">
        <f t="shared" ca="1" si="9"/>
        <v>0</v>
      </c>
      <c r="DI22" s="127">
        <f t="shared" ca="1" si="9"/>
        <v>0</v>
      </c>
      <c r="DJ22" s="127">
        <f t="shared" ca="1" si="9"/>
        <v>0</v>
      </c>
      <c r="DK22" s="127">
        <f t="shared" ca="1" si="9"/>
        <v>0</v>
      </c>
      <c r="DL22" s="127">
        <f t="shared" ca="1" si="9"/>
        <v>29.499999999999996</v>
      </c>
      <c r="DM22" s="127">
        <f t="shared" ca="1" si="9"/>
        <v>189.1</v>
      </c>
      <c r="DN22" s="127">
        <f t="shared" ca="1" si="9"/>
        <v>225.20000000000002</v>
      </c>
    </row>
    <row r="23" spans="1:118" x14ac:dyDescent="0.2">
      <c r="A23" s="127">
        <v>2002</v>
      </c>
      <c r="B23" s="130">
        <v>10</v>
      </c>
      <c r="C23" s="130">
        <v>10.151612903225805</v>
      </c>
      <c r="D23" s="131">
        <v>311.90000000000009</v>
      </c>
      <c r="E23" s="131">
        <v>6.6000000000000014</v>
      </c>
      <c r="F23" s="131">
        <v>255.9</v>
      </c>
      <c r="G23" s="131">
        <v>12.600000000000001</v>
      </c>
      <c r="H23" s="131">
        <v>200.30000000000004</v>
      </c>
      <c r="I23" s="131">
        <v>19</v>
      </c>
      <c r="J23" s="131">
        <v>151.19999999999999</v>
      </c>
      <c r="K23" s="131">
        <v>31.9</v>
      </c>
      <c r="L23" s="131">
        <v>107.99999999999999</v>
      </c>
      <c r="M23" s="131">
        <v>50.70000000000001</v>
      </c>
      <c r="N23" s="131">
        <v>66.8</v>
      </c>
      <c r="O23" s="131">
        <v>71.5</v>
      </c>
      <c r="P23" s="131">
        <v>33.700000000000003</v>
      </c>
      <c r="Q23" s="131">
        <v>100.39999999999999</v>
      </c>
      <c r="R23" s="131"/>
      <c r="S23" s="131"/>
      <c r="T23" s="131"/>
      <c r="V23" s="127">
        <f t="shared" si="10"/>
        <v>2019</v>
      </c>
      <c r="W23" s="127">
        <f t="shared" ca="1" si="0"/>
        <v>773.8</v>
      </c>
      <c r="X23" s="127">
        <f t="shared" ca="1" si="22"/>
        <v>636.9000000000002</v>
      </c>
      <c r="Y23" s="127">
        <f t="shared" ca="1" si="22"/>
        <v>611.39999999999986</v>
      </c>
      <c r="Z23" s="127">
        <f t="shared" ca="1" si="22"/>
        <v>338.39999999999992</v>
      </c>
      <c r="AA23" s="127">
        <f t="shared" ca="1" si="22"/>
        <v>194.20000000000002</v>
      </c>
      <c r="AB23" s="127">
        <f t="shared" ca="1" si="22"/>
        <v>56.1</v>
      </c>
      <c r="AC23" s="127">
        <f t="shared" ca="1" si="22"/>
        <v>0</v>
      </c>
      <c r="AD23" s="127">
        <f t="shared" ca="1" si="22"/>
        <v>8.0999999999999979</v>
      </c>
      <c r="AE23" s="127">
        <f t="shared" ca="1" si="22"/>
        <v>46.099999999999994</v>
      </c>
      <c r="AF23" s="127">
        <f t="shared" ca="1" si="22"/>
        <v>263.40000000000003</v>
      </c>
      <c r="AG23" s="127">
        <f t="shared" ca="1" si="22"/>
        <v>555.19999999999982</v>
      </c>
      <c r="AH23" s="127">
        <f t="shared" ca="1" si="22"/>
        <v>589.90000000000009</v>
      </c>
      <c r="AJ23" s="127">
        <f t="shared" si="11"/>
        <v>2019</v>
      </c>
      <c r="AK23" s="127">
        <f t="shared" ca="1" si="17"/>
        <v>711.8</v>
      </c>
      <c r="AL23" s="127">
        <f t="shared" ca="1" si="17"/>
        <v>580.90000000000009</v>
      </c>
      <c r="AM23" s="127">
        <f t="shared" ca="1" si="17"/>
        <v>549.4</v>
      </c>
      <c r="AN23" s="127">
        <f t="shared" ca="1" si="17"/>
        <v>278.40000000000003</v>
      </c>
      <c r="AO23" s="127">
        <f t="shared" ca="1" si="17"/>
        <v>139.50000000000006</v>
      </c>
      <c r="AP23" s="127">
        <f t="shared" ca="1" si="17"/>
        <v>23.9</v>
      </c>
      <c r="AQ23" s="127">
        <f t="shared" ca="1" si="17"/>
        <v>0</v>
      </c>
      <c r="AR23" s="127">
        <f t="shared" ca="1" si="17"/>
        <v>0.39999999999999858</v>
      </c>
      <c r="AS23" s="127">
        <f t="shared" ca="1" si="17"/>
        <v>14.699999999999998</v>
      </c>
      <c r="AT23" s="127">
        <f t="shared" ca="1" si="17"/>
        <v>204.10000000000002</v>
      </c>
      <c r="AU23" s="127">
        <f t="shared" ca="1" si="17"/>
        <v>495.19999999999993</v>
      </c>
      <c r="AV23" s="127">
        <f t="shared" ca="1" si="17"/>
        <v>527.90000000000009</v>
      </c>
      <c r="AW23" s="147">
        <f t="shared" ca="1" si="8"/>
        <v>3526.2</v>
      </c>
      <c r="AX23" s="127">
        <f t="shared" si="12"/>
        <v>2019</v>
      </c>
      <c r="AY23" s="127">
        <f t="shared" ca="1" si="18"/>
        <v>649.79999999999995</v>
      </c>
      <c r="AZ23" s="127">
        <f t="shared" ca="1" si="18"/>
        <v>524.90000000000009</v>
      </c>
      <c r="BA23" s="127">
        <f t="shared" ca="1" si="18"/>
        <v>487.4</v>
      </c>
      <c r="BB23" s="127">
        <f t="shared" ca="1" si="18"/>
        <v>218.8</v>
      </c>
      <c r="BC23" s="127">
        <f t="shared" ca="1" si="18"/>
        <v>89.4</v>
      </c>
      <c r="BD23" s="127">
        <f t="shared" ca="1" si="18"/>
        <v>7.1</v>
      </c>
      <c r="BE23" s="127">
        <f t="shared" ca="1" si="18"/>
        <v>0</v>
      </c>
      <c r="BF23" s="127">
        <f t="shared" ca="1" si="18"/>
        <v>0</v>
      </c>
      <c r="BG23" s="127">
        <f t="shared" ca="1" si="18"/>
        <v>2.0999999999999996</v>
      </c>
      <c r="BH23" s="127">
        <f t="shared" ca="1" si="18"/>
        <v>147.70000000000002</v>
      </c>
      <c r="BI23" s="127">
        <f t="shared" ca="1" si="18"/>
        <v>435.2</v>
      </c>
      <c r="BJ23" s="127">
        <f t="shared" ca="1" si="18"/>
        <v>465.90000000000009</v>
      </c>
      <c r="BL23" s="127">
        <f t="shared" si="13"/>
        <v>2019</v>
      </c>
      <c r="BM23" s="127">
        <f t="shared" ca="1" si="19"/>
        <v>587.79999999999995</v>
      </c>
      <c r="BN23" s="127">
        <f t="shared" ca="1" si="19"/>
        <v>468.9</v>
      </c>
      <c r="BO23" s="127">
        <f t="shared" ca="1" si="19"/>
        <v>425.39999999999992</v>
      </c>
      <c r="BP23" s="127">
        <f t="shared" ca="1" si="19"/>
        <v>162.30000000000001</v>
      </c>
      <c r="BQ23" s="127">
        <f t="shared" ca="1" si="19"/>
        <v>52.599999999999994</v>
      </c>
      <c r="BR23" s="127">
        <f t="shared" ca="1" si="19"/>
        <v>1.4000000000000004</v>
      </c>
      <c r="BS23" s="127">
        <f t="shared" ca="1" si="19"/>
        <v>0</v>
      </c>
      <c r="BT23" s="127">
        <f t="shared" ca="1" si="19"/>
        <v>0</v>
      </c>
      <c r="BU23" s="127">
        <f t="shared" ca="1" si="19"/>
        <v>0</v>
      </c>
      <c r="BV23" s="127">
        <f t="shared" ca="1" si="19"/>
        <v>96.199999999999989</v>
      </c>
      <c r="BW23" s="127">
        <f t="shared" ca="1" si="19"/>
        <v>375.2</v>
      </c>
      <c r="BX23" s="127">
        <f t="shared" ca="1" si="19"/>
        <v>403.90000000000009</v>
      </c>
      <c r="BZ23" s="127">
        <f t="shared" si="14"/>
        <v>2019</v>
      </c>
      <c r="CA23" s="127">
        <f t="shared" ca="1" si="20"/>
        <v>525.79999999999995</v>
      </c>
      <c r="CB23" s="127">
        <f t="shared" ca="1" si="20"/>
        <v>412.90000000000003</v>
      </c>
      <c r="CC23" s="127">
        <f t="shared" ca="1" si="20"/>
        <v>363.4</v>
      </c>
      <c r="CD23" s="127">
        <f t="shared" ca="1" si="20"/>
        <v>109.80000000000001</v>
      </c>
      <c r="CE23" s="127">
        <f t="shared" ca="1" si="20"/>
        <v>26.499999999999996</v>
      </c>
      <c r="CF23" s="127">
        <f t="shared" ca="1" si="20"/>
        <v>0</v>
      </c>
      <c r="CG23" s="127">
        <f t="shared" ca="1" si="20"/>
        <v>0</v>
      </c>
      <c r="CH23" s="127">
        <f t="shared" ca="1" si="20"/>
        <v>0</v>
      </c>
      <c r="CI23" s="127">
        <f t="shared" ca="1" si="20"/>
        <v>0</v>
      </c>
      <c r="CJ23" s="127">
        <f t="shared" ca="1" si="20"/>
        <v>55.199999999999989</v>
      </c>
      <c r="CK23" s="127">
        <f t="shared" ca="1" si="20"/>
        <v>315.20000000000005</v>
      </c>
      <c r="CL23" s="127">
        <f t="shared" ca="1" si="20"/>
        <v>341.90000000000009</v>
      </c>
      <c r="CN23" s="127">
        <f t="shared" si="15"/>
        <v>2019</v>
      </c>
      <c r="CO23" s="127">
        <f t="shared" ca="1" si="21"/>
        <v>463.8</v>
      </c>
      <c r="CP23" s="127">
        <f t="shared" ca="1" si="21"/>
        <v>356.90000000000003</v>
      </c>
      <c r="CQ23" s="127">
        <f t="shared" ca="1" si="21"/>
        <v>302.7</v>
      </c>
      <c r="CR23" s="127">
        <f t="shared" ca="1" si="21"/>
        <v>69.2</v>
      </c>
      <c r="CS23" s="127">
        <f t="shared" ca="1" si="21"/>
        <v>9.5</v>
      </c>
      <c r="CT23" s="127">
        <f t="shared" ca="1" si="21"/>
        <v>0</v>
      </c>
      <c r="CU23" s="127">
        <f t="shared" ca="1" si="21"/>
        <v>0</v>
      </c>
      <c r="CV23" s="127">
        <f t="shared" ca="1" si="21"/>
        <v>0</v>
      </c>
      <c r="CW23" s="127">
        <f t="shared" ca="1" si="21"/>
        <v>0</v>
      </c>
      <c r="CX23" s="127">
        <f t="shared" ca="1" si="21"/>
        <v>26.900000000000006</v>
      </c>
      <c r="CY23" s="127">
        <f t="shared" ca="1" si="21"/>
        <v>255.20000000000007</v>
      </c>
      <c r="CZ23" s="127">
        <f t="shared" ca="1" si="21"/>
        <v>279.90000000000009</v>
      </c>
      <c r="DB23" s="127">
        <f t="shared" si="16"/>
        <v>2019</v>
      </c>
      <c r="DC23" s="127">
        <f t="shared" ca="1" si="9"/>
        <v>401.8</v>
      </c>
      <c r="DD23" s="127">
        <f t="shared" ca="1" si="9"/>
        <v>300.90000000000003</v>
      </c>
      <c r="DE23" s="127">
        <f t="shared" ca="1" si="9"/>
        <v>244.70000000000002</v>
      </c>
      <c r="DF23" s="127">
        <f t="shared" ca="1" si="9"/>
        <v>38.5</v>
      </c>
      <c r="DG23" s="127">
        <f t="shared" ca="1" si="9"/>
        <v>1.6000000000000005</v>
      </c>
      <c r="DH23" s="127">
        <f t="shared" ca="1" si="9"/>
        <v>0</v>
      </c>
      <c r="DI23" s="127">
        <f t="shared" ca="1" si="9"/>
        <v>0</v>
      </c>
      <c r="DJ23" s="127">
        <f t="shared" ca="1" si="9"/>
        <v>0</v>
      </c>
      <c r="DK23" s="127">
        <f t="shared" ca="1" si="9"/>
        <v>0</v>
      </c>
      <c r="DL23" s="127">
        <f t="shared" ca="1" si="9"/>
        <v>10.199999999999999</v>
      </c>
      <c r="DM23" s="127">
        <f t="shared" ca="1" si="9"/>
        <v>195.80000000000007</v>
      </c>
      <c r="DN23" s="127">
        <f t="shared" ca="1" si="9"/>
        <v>218.60000000000002</v>
      </c>
    </row>
    <row r="24" spans="1:118" x14ac:dyDescent="0.2">
      <c r="A24" s="127">
        <v>2002</v>
      </c>
      <c r="B24" s="130">
        <v>11</v>
      </c>
      <c r="C24" s="130">
        <v>4.083333333333333</v>
      </c>
      <c r="D24" s="131">
        <v>477.5</v>
      </c>
      <c r="E24" s="131">
        <v>0</v>
      </c>
      <c r="F24" s="131">
        <v>417.5</v>
      </c>
      <c r="G24" s="131">
        <v>0</v>
      </c>
      <c r="H24" s="131">
        <v>357.5</v>
      </c>
      <c r="I24" s="131">
        <v>0</v>
      </c>
      <c r="J24" s="131">
        <v>298.5</v>
      </c>
      <c r="K24" s="131">
        <v>1</v>
      </c>
      <c r="L24" s="131">
        <v>241.1</v>
      </c>
      <c r="M24" s="131">
        <v>3.5999999999999996</v>
      </c>
      <c r="N24" s="131">
        <v>186.70000000000002</v>
      </c>
      <c r="O24" s="131">
        <v>9.1999999999999993</v>
      </c>
      <c r="P24" s="131">
        <v>135.5</v>
      </c>
      <c r="Q24" s="131">
        <v>18</v>
      </c>
      <c r="R24" s="131"/>
      <c r="S24" s="131"/>
      <c r="T24" s="131"/>
      <c r="V24" s="127">
        <f t="shared" si="10"/>
        <v>2020</v>
      </c>
      <c r="W24" s="127">
        <f t="shared" ca="1" si="0"/>
        <v>623.20000000000016</v>
      </c>
      <c r="X24" s="127">
        <f t="shared" ca="1" si="22"/>
        <v>627.29999999999973</v>
      </c>
      <c r="Y24" s="127">
        <f t="shared" ca="1" si="22"/>
        <v>484.19999999999993</v>
      </c>
      <c r="Z24" s="127">
        <f t="shared" ca="1" si="22"/>
        <v>396.50000000000006</v>
      </c>
      <c r="AA24" s="127">
        <f t="shared" ca="1" si="22"/>
        <v>211</v>
      </c>
      <c r="AB24" s="127">
        <f t="shared" ca="1" si="22"/>
        <v>24.199999999999996</v>
      </c>
      <c r="AC24" s="127">
        <f t="shared" ca="1" si="22"/>
        <v>0</v>
      </c>
      <c r="AD24" s="127">
        <f t="shared" ca="1" si="22"/>
        <v>4.4000000000000021</v>
      </c>
      <c r="AE24" s="127">
        <f t="shared" ca="1" si="22"/>
        <v>105.19999999999999</v>
      </c>
      <c r="AF24" s="127">
        <f t="shared" ca="1" si="22"/>
        <v>300.89999999999998</v>
      </c>
      <c r="AG24" s="127">
        <f t="shared" ca="1" si="22"/>
        <v>388.1</v>
      </c>
      <c r="AH24" s="127">
        <f t="shared" ca="1" si="22"/>
        <v>609.4</v>
      </c>
      <c r="AJ24" s="127">
        <f t="shared" si="11"/>
        <v>2020</v>
      </c>
      <c r="AK24" s="127">
        <f t="shared" ca="1" si="17"/>
        <v>561.20000000000016</v>
      </c>
      <c r="AL24" s="127">
        <f t="shared" ca="1" si="17"/>
        <v>569.29999999999984</v>
      </c>
      <c r="AM24" s="127">
        <f t="shared" ca="1" si="17"/>
        <v>422.2</v>
      </c>
      <c r="AN24" s="127">
        <f t="shared" ca="1" si="17"/>
        <v>336.5</v>
      </c>
      <c r="AO24" s="127">
        <f t="shared" ca="1" si="17"/>
        <v>160.50000000000003</v>
      </c>
      <c r="AP24" s="127">
        <f t="shared" ca="1" si="17"/>
        <v>10.799999999999999</v>
      </c>
      <c r="AQ24" s="127">
        <f t="shared" ca="1" si="17"/>
        <v>0</v>
      </c>
      <c r="AR24" s="127">
        <f t="shared" ca="1" si="17"/>
        <v>0</v>
      </c>
      <c r="AS24" s="127">
        <f t="shared" ca="1" si="17"/>
        <v>62</v>
      </c>
      <c r="AT24" s="127">
        <f t="shared" ca="1" si="17"/>
        <v>239.7</v>
      </c>
      <c r="AU24" s="127">
        <f t="shared" ca="1" si="17"/>
        <v>329.50000000000006</v>
      </c>
      <c r="AV24" s="127">
        <f t="shared" ca="1" si="17"/>
        <v>547.4</v>
      </c>
      <c r="AW24" s="147">
        <f t="shared" ca="1" si="8"/>
        <v>3239.1000000000004</v>
      </c>
      <c r="AX24" s="127">
        <f t="shared" si="12"/>
        <v>2020</v>
      </c>
      <c r="AY24" s="127">
        <f t="shared" ca="1" si="18"/>
        <v>499.2000000000001</v>
      </c>
      <c r="AZ24" s="127">
        <f t="shared" ca="1" si="18"/>
        <v>511.29999999999995</v>
      </c>
      <c r="BA24" s="127">
        <f t="shared" ca="1" si="18"/>
        <v>360.20000000000005</v>
      </c>
      <c r="BB24" s="127">
        <f t="shared" ca="1" si="18"/>
        <v>276.5</v>
      </c>
      <c r="BC24" s="127">
        <f t="shared" ca="1" si="18"/>
        <v>115.20000000000002</v>
      </c>
      <c r="BD24" s="127">
        <f t="shared" ca="1" si="18"/>
        <v>4.4000000000000004</v>
      </c>
      <c r="BE24" s="127">
        <f t="shared" ca="1" si="18"/>
        <v>0</v>
      </c>
      <c r="BF24" s="127">
        <f t="shared" ca="1" si="18"/>
        <v>0</v>
      </c>
      <c r="BG24" s="127">
        <f t="shared" ca="1" si="18"/>
        <v>31.4</v>
      </c>
      <c r="BH24" s="127">
        <f t="shared" ca="1" si="18"/>
        <v>181.8</v>
      </c>
      <c r="BI24" s="127">
        <f t="shared" ca="1" si="18"/>
        <v>271.49999999999994</v>
      </c>
      <c r="BJ24" s="127">
        <f t="shared" ca="1" si="18"/>
        <v>485.40000000000003</v>
      </c>
      <c r="BL24" s="127">
        <f t="shared" si="13"/>
        <v>2020</v>
      </c>
      <c r="BM24" s="127">
        <f t="shared" ca="1" si="19"/>
        <v>437.2000000000001</v>
      </c>
      <c r="BN24" s="127">
        <f t="shared" ca="1" si="19"/>
        <v>453.29999999999995</v>
      </c>
      <c r="BO24" s="127">
        <f t="shared" ca="1" si="19"/>
        <v>298.20000000000005</v>
      </c>
      <c r="BP24" s="127">
        <f t="shared" ca="1" si="19"/>
        <v>219.2</v>
      </c>
      <c r="BQ24" s="127">
        <f t="shared" ca="1" si="19"/>
        <v>79.800000000000011</v>
      </c>
      <c r="BR24" s="127">
        <f t="shared" ca="1" si="19"/>
        <v>0</v>
      </c>
      <c r="BS24" s="127">
        <f t="shared" ca="1" si="19"/>
        <v>0</v>
      </c>
      <c r="BT24" s="127">
        <f t="shared" ca="1" si="19"/>
        <v>0</v>
      </c>
      <c r="BU24" s="127">
        <f t="shared" ca="1" si="19"/>
        <v>12.100000000000001</v>
      </c>
      <c r="BV24" s="127">
        <f t="shared" ca="1" si="19"/>
        <v>129.4</v>
      </c>
      <c r="BW24" s="127">
        <f t="shared" ca="1" si="19"/>
        <v>214.49999999999997</v>
      </c>
      <c r="BX24" s="127">
        <f t="shared" ca="1" si="19"/>
        <v>423.40000000000003</v>
      </c>
      <c r="BZ24" s="127">
        <f t="shared" si="14"/>
        <v>2020</v>
      </c>
      <c r="CA24" s="127">
        <f t="shared" ca="1" si="20"/>
        <v>375.2000000000001</v>
      </c>
      <c r="CB24" s="127">
        <f t="shared" ca="1" si="20"/>
        <v>395.3</v>
      </c>
      <c r="CC24" s="127">
        <f t="shared" ca="1" si="20"/>
        <v>236.9</v>
      </c>
      <c r="CD24" s="127">
        <f t="shared" ca="1" si="20"/>
        <v>165.9</v>
      </c>
      <c r="CE24" s="127">
        <f t="shared" ca="1" si="20"/>
        <v>52.2</v>
      </c>
      <c r="CF24" s="127">
        <f t="shared" ca="1" si="20"/>
        <v>0</v>
      </c>
      <c r="CG24" s="127">
        <f t="shared" ca="1" si="20"/>
        <v>0</v>
      </c>
      <c r="CH24" s="127">
        <f t="shared" ca="1" si="20"/>
        <v>0</v>
      </c>
      <c r="CI24" s="127">
        <f t="shared" ca="1" si="20"/>
        <v>2.9000000000000004</v>
      </c>
      <c r="CJ24" s="127">
        <f t="shared" ca="1" si="20"/>
        <v>83.899999999999991</v>
      </c>
      <c r="CK24" s="127">
        <f t="shared" ca="1" si="20"/>
        <v>166.29999999999998</v>
      </c>
      <c r="CL24" s="127">
        <f t="shared" ca="1" si="20"/>
        <v>361.4</v>
      </c>
      <c r="CN24" s="127">
        <f t="shared" si="15"/>
        <v>2020</v>
      </c>
      <c r="CO24" s="127">
        <f t="shared" ca="1" si="21"/>
        <v>313.2000000000001</v>
      </c>
      <c r="CP24" s="127">
        <f t="shared" ca="1" si="21"/>
        <v>337.30000000000007</v>
      </c>
      <c r="CQ24" s="127">
        <f t="shared" ca="1" si="21"/>
        <v>178.3</v>
      </c>
      <c r="CR24" s="127">
        <f t="shared" ca="1" si="21"/>
        <v>115.30000000000001</v>
      </c>
      <c r="CS24" s="127">
        <f t="shared" ca="1" si="21"/>
        <v>31.799999999999997</v>
      </c>
      <c r="CT24" s="127">
        <f t="shared" ca="1" si="21"/>
        <v>0</v>
      </c>
      <c r="CU24" s="127">
        <f t="shared" ca="1" si="21"/>
        <v>0</v>
      </c>
      <c r="CV24" s="127">
        <f t="shared" ca="1" si="21"/>
        <v>0</v>
      </c>
      <c r="CW24" s="127">
        <f t="shared" ca="1" si="21"/>
        <v>0</v>
      </c>
      <c r="CX24" s="127">
        <f t="shared" ca="1" si="21"/>
        <v>48.6</v>
      </c>
      <c r="CY24" s="127">
        <f t="shared" ca="1" si="21"/>
        <v>123.09999999999998</v>
      </c>
      <c r="CZ24" s="127">
        <f t="shared" ca="1" si="21"/>
        <v>299.40000000000009</v>
      </c>
      <c r="DB24" s="127">
        <f t="shared" si="16"/>
        <v>2020</v>
      </c>
      <c r="DC24" s="127">
        <f t="shared" ca="1" si="9"/>
        <v>251.2</v>
      </c>
      <c r="DD24" s="127">
        <f t="shared" ca="1" si="9"/>
        <v>279.3</v>
      </c>
      <c r="DE24" s="127">
        <f t="shared" ca="1" si="9"/>
        <v>122.70000000000002</v>
      </c>
      <c r="DF24" s="127">
        <f t="shared" ca="1" si="9"/>
        <v>68.500000000000014</v>
      </c>
      <c r="DG24" s="127">
        <f t="shared" ca="1" si="9"/>
        <v>14.8</v>
      </c>
      <c r="DH24" s="127">
        <f t="shared" ca="1" si="9"/>
        <v>0</v>
      </c>
      <c r="DI24" s="127">
        <f t="shared" ca="1" si="9"/>
        <v>0</v>
      </c>
      <c r="DJ24" s="127">
        <f t="shared" ca="1" si="9"/>
        <v>0</v>
      </c>
      <c r="DK24" s="127">
        <f t="shared" ca="1" si="9"/>
        <v>0</v>
      </c>
      <c r="DL24" s="127">
        <f t="shared" ca="1" si="9"/>
        <v>22.499999999999996</v>
      </c>
      <c r="DM24" s="127">
        <f t="shared" ca="1" si="9"/>
        <v>83.899999999999991</v>
      </c>
      <c r="DN24" s="127">
        <f t="shared" ca="1" si="9"/>
        <v>237.40000000000006</v>
      </c>
    </row>
    <row r="25" spans="1:118" ht="15" x14ac:dyDescent="0.25">
      <c r="A25" s="127">
        <v>2002</v>
      </c>
      <c r="B25" s="130">
        <v>12</v>
      </c>
      <c r="C25" s="130">
        <v>-1.6903225806451612</v>
      </c>
      <c r="D25" s="131">
        <v>672.39999999999986</v>
      </c>
      <c r="E25" s="131">
        <v>0</v>
      </c>
      <c r="F25" s="131">
        <v>610.39999999999986</v>
      </c>
      <c r="G25" s="131">
        <v>0</v>
      </c>
      <c r="H25" s="131">
        <v>548.4</v>
      </c>
      <c r="I25" s="131">
        <v>0</v>
      </c>
      <c r="J25" s="131">
        <v>486.4</v>
      </c>
      <c r="K25" s="131">
        <v>0</v>
      </c>
      <c r="L25" s="131">
        <v>424.4</v>
      </c>
      <c r="M25" s="131">
        <v>0</v>
      </c>
      <c r="N25" s="131">
        <v>362.4</v>
      </c>
      <c r="O25" s="131">
        <v>0</v>
      </c>
      <c r="P25" s="131">
        <v>300.39999999999992</v>
      </c>
      <c r="Q25" s="131">
        <v>0</v>
      </c>
      <c r="R25" s="131"/>
      <c r="S25" s="131"/>
      <c r="T25" s="131"/>
      <c r="V25" s="135">
        <f>1+V24</f>
        <v>2021</v>
      </c>
      <c r="W25" s="136">
        <f ca="1">MAX(TREND(W$5:W$24,V$5:V$24,V25),0)</f>
        <v>733.04210526315796</v>
      </c>
      <c r="X25" s="136">
        <f ca="1">MAX(TREND(X$5:X$24,V$5:V$24,V25),0)</f>
        <v>647.68631578947372</v>
      </c>
      <c r="Y25" s="136">
        <f ca="1">MAX(TREND(Y$5:Y$24,V$5:V$24,V25),0)</f>
        <v>551.16789473684207</v>
      </c>
      <c r="Z25" s="136">
        <f ca="1">MAX(TREND(Z$5:Z$24,V$5:V$24,V25),0)</f>
        <v>371.42894736842118</v>
      </c>
      <c r="AA25" s="136">
        <f ca="1">MAX(TREND(AA$5:AA$24,V$5:V$24,V25),0)</f>
        <v>148.88789473684233</v>
      </c>
      <c r="AB25" s="136">
        <f ca="1">MAX(TREND(AB$5:AB$24,V$5:V$24,V25),0)</f>
        <v>27.550526315789512</v>
      </c>
      <c r="AC25" s="136">
        <f ca="1">MAX(TREND(AC$5:AC$24,V$5:V$24,V25),0)</f>
        <v>5.2615789473684202</v>
      </c>
      <c r="AD25" s="136">
        <f ca="1">MAX(TREND(AD$5:AD$24,V$5:V$24,V25),0)</f>
        <v>10.416842105263129</v>
      </c>
      <c r="AE25" s="136">
        <f ca="1">MAX(TREND(AE$5:AE$24,V$5:V$24,V25),0)</f>
        <v>79.792631578947521</v>
      </c>
      <c r="AF25" s="136">
        <f ca="1">MAX(TREND(AF$5:AF$24,V$5:V$24,V25),0)</f>
        <v>255.42842105263173</v>
      </c>
      <c r="AG25" s="136">
        <f ca="1">MAX(TREND(AG$5:AG$24,V$5:V$24,V25),0)</f>
        <v>483.73631578947334</v>
      </c>
      <c r="AH25" s="136">
        <f ca="1">MAX(TREND(AH$5:AH$24,V$5:V$24,V25),0)</f>
        <v>621.01210526315799</v>
      </c>
      <c r="AJ25" s="135">
        <f>1+AJ24</f>
        <v>2021</v>
      </c>
      <c r="AK25" s="136">
        <f ca="1">MAX(TREND(AK$5:AK$24,AJ$5:AJ$24,AJ25),0)</f>
        <v>671.04210526315785</v>
      </c>
      <c r="AL25" s="136">
        <f ca="1">MAX(TREND(AL$5:AL$24,AJ$5:AJ$24,AJ25),0)</f>
        <v>590.94947368421049</v>
      </c>
      <c r="AM25" s="136">
        <f ca="1">MAX(TREND(AM$5:AM$24,AJ$5:AJ$24,AJ25),0)</f>
        <v>489.60157894736847</v>
      </c>
      <c r="AN25" s="136">
        <f ca="1">MAX(TREND(AN$5:AN$24,AJ$5:AJ$24,AJ25),0)</f>
        <v>310.74578947368445</v>
      </c>
      <c r="AO25" s="136">
        <f ca="1">MAX(TREND(AO$5:AO$24,AJ$5:AJ$24,AJ25),0)</f>
        <v>104.66368421052653</v>
      </c>
      <c r="AP25" s="136">
        <f ca="1">MAX(TREND(AP$5:AP$24,AJ$5:AJ$24,AJ25),0)</f>
        <v>9.5521052631578414</v>
      </c>
      <c r="AQ25" s="136">
        <f ca="1">MAX(TREND(AQ$5:AQ$24,AJ$5:AJ$24,AJ25),0)</f>
        <v>0.68210526315789366</v>
      </c>
      <c r="AR25" s="136">
        <f ca="1">MAX(TREND(AR$5:AR$24,AJ$5:AJ$24,AJ25),0)</f>
        <v>2.7563157894736889</v>
      </c>
      <c r="AS25" s="136">
        <f ca="1">MAX(TREND(AS$5:AS$24,AJ$5:AJ$24,AJ25),0)</f>
        <v>43.290526315789521</v>
      </c>
      <c r="AT25" s="136">
        <f ca="1">MAX(TREND(AT$5:AT$24,AJ$5:AJ$24,AJ25),0)</f>
        <v>198.59000000000003</v>
      </c>
      <c r="AU25" s="136">
        <f ca="1">MAX(TREND(AU$5:AU$24,AJ$5:AJ$24,AJ25),0)</f>
        <v>424.0163157894749</v>
      </c>
      <c r="AV25" s="136">
        <f ca="1">MAX(TREND(AV$5:AV$24,AJ$5:AJ$24,AJ25),0)</f>
        <v>559.01210526315754</v>
      </c>
      <c r="AW25" s="147">
        <f t="shared" ca="1" si="8"/>
        <v>3404.9021052631601</v>
      </c>
      <c r="AX25" s="135">
        <f>1+AX24</f>
        <v>2021</v>
      </c>
      <c r="AY25" s="136">
        <f ca="1">MAX(TREND(AY$5:AY$24,AX$5:AX$24,AX25),0)</f>
        <v>609.04210526315774</v>
      </c>
      <c r="AZ25" s="136">
        <f ca="1">MAX(TREND(AZ$5:AZ$24,AX$5:AX$24,AX25),0)</f>
        <v>534.21263157894748</v>
      </c>
      <c r="BA25" s="136">
        <f ca="1">MAX(TREND(BA$5:BA$24,AX$5:AX$24,AX25),0)</f>
        <v>428.30789473684212</v>
      </c>
      <c r="BB25" s="136">
        <f ca="1">MAX(TREND(BB$5:BB$24,AX$5:AX$24,AX25),0)</f>
        <v>250.62157894736811</v>
      </c>
      <c r="BC25" s="136">
        <f ca="1">MAX(TREND(BC$5:BC$24,AX$5:AX$24,AX25),0)</f>
        <v>68.774736842105199</v>
      </c>
      <c r="BD25" s="136">
        <f ca="1">MAX(TREND(BD$5:BD$24,AX$5:AX$24,AX25),0)</f>
        <v>1.9163157894736855</v>
      </c>
      <c r="BE25" s="136">
        <f ca="1">MAX(TREND(BE$5:BE$24,AX$5:AX$24,AX25),0)</f>
        <v>0</v>
      </c>
      <c r="BF25" s="136">
        <f ca="1">MAX(TREND(BF$5:BF$24,AX$5:AX$24,AX25),0)</f>
        <v>0.36052631578947114</v>
      </c>
      <c r="BG25" s="136">
        <f ca="1">MAX(TREND(BG$5:BG$24,AX$5:AX$24,AX25),0)</f>
        <v>18.954210526315791</v>
      </c>
      <c r="BH25" s="136">
        <f ca="1">MAX(TREND(BH$5:BH$24,AX$5:AX$24,AX25),0)</f>
        <v>146.49421052631578</v>
      </c>
      <c r="BI25" s="136">
        <f ca="1">MAX(TREND(BI$5:BI$24,AX$5:AX$24,AX25),0)</f>
        <v>364.51684210526309</v>
      </c>
      <c r="BJ25" s="136">
        <f ca="1">MAX(TREND(BJ$5:BJ$24,AX$5:AX$24,AX25),0)</f>
        <v>497.01210526315799</v>
      </c>
      <c r="BL25" s="135">
        <f>1+BL24</f>
        <v>2021</v>
      </c>
      <c r="BM25" s="136">
        <f ca="1">MAX(TREND(BM$5:BM$24,BL$5:BL$24,BL25),0)</f>
        <v>547.04210526315785</v>
      </c>
      <c r="BN25" s="136">
        <f ca="1">MAX(TREND(BN$5:BN$24,BL$5:BL$24,BL25),0)</f>
        <v>477.47578947368413</v>
      </c>
      <c r="BO25" s="136">
        <f ca="1">MAX(TREND(BO$5:BO$24,BL$5:BL$24,BL25),0)</f>
        <v>367.68052631578945</v>
      </c>
      <c r="BP25" s="136">
        <f ca="1">MAX(TREND(BP$5:BP$24,BL$5:BL$24,BL25),0)</f>
        <v>193.43789473684228</v>
      </c>
      <c r="BQ25" s="136">
        <f ca="1">MAX(TREND(BQ$5:BQ$24,BL$5:BL$24,BL25),0)</f>
        <v>42.06842105263155</v>
      </c>
      <c r="BR25" s="136">
        <f ca="1">MAX(TREND(BR$5:BR$24,BL$5:BL$24,BL25),0)</f>
        <v>0.14684210526316122</v>
      </c>
      <c r="BS25" s="136">
        <f ca="1">MAX(TREND(BS$5:BS$24,BL$5:BL$24,BL25),0)</f>
        <v>0</v>
      </c>
      <c r="BT25" s="136">
        <f ca="1">MAX(TREND(BT$5:BT$24,BL$5:BL$24,BL25),0)</f>
        <v>0</v>
      </c>
      <c r="BU25" s="136">
        <f ca="1">MAX(TREND(BU$5:BU$24,BL$5:BL$24,BL25),0)</f>
        <v>5.8152631578947478</v>
      </c>
      <c r="BV25" s="136">
        <f ca="1">MAX(TREND(BV$5:BV$24,BL$5:BL$24,BL25),0)</f>
        <v>101.29052631578952</v>
      </c>
      <c r="BW25" s="136">
        <f ca="1">MAX(TREND(BW$5:BW$24,BL$5:BL$24,BL25),0)</f>
        <v>305.98947368420977</v>
      </c>
      <c r="BX25" s="136">
        <f ca="1">MAX(TREND(BX$5:BX$24,BL$5:BL$24,BL25),0)</f>
        <v>434.94210526315783</v>
      </c>
      <c r="BZ25" s="135">
        <f>1+BZ24</f>
        <v>2021</v>
      </c>
      <c r="CA25" s="136">
        <f ca="1">MAX(TREND(CA$5:CA$24,BZ$5:BZ$24,BZ25),0)</f>
        <v>485.06421052631566</v>
      </c>
      <c r="CB25" s="136">
        <f ca="1">MAX(TREND(CB$5:CB$24,BZ$5:BZ$24,BZ25),0)</f>
        <v>420.90736842105252</v>
      </c>
      <c r="CC25" s="136">
        <f ca="1">MAX(TREND(CC$5:CC$24,BZ$5:BZ$24,BZ25),0)</f>
        <v>308.13315789473688</v>
      </c>
      <c r="CD25" s="136">
        <f ca="1">MAX(TREND(CD$5:CD$24,BZ$5:BZ$24,BZ25),0)</f>
        <v>140.44210526315783</v>
      </c>
      <c r="CE25" s="136">
        <f ca="1">MAX(TREND(CE$5:CE$24,BZ$5:BZ$24,BZ25),0)</f>
        <v>23.523684210526312</v>
      </c>
      <c r="CF25" s="136">
        <f ca="1">MAX(TREND(CF$5:CF$24,BZ$5:BZ$24,BZ25),0)</f>
        <v>7.3684210526323568E-3</v>
      </c>
      <c r="CG25" s="136">
        <f ca="1">MAX(TREND(CG$5:CG$24,BZ$5:BZ$24,BZ25),0)</f>
        <v>0</v>
      </c>
      <c r="CH25" s="136">
        <f ca="1">MAX(TREND(CH$5:CH$24,BZ$5:BZ$24,BZ25),0)</f>
        <v>0</v>
      </c>
      <c r="CI25" s="136">
        <f ca="1">MAX(TREND(CI$5:CI$24,BZ$5:BZ$24,BZ25),0)</f>
        <v>0.36000000000001364</v>
      </c>
      <c r="CJ25" s="136">
        <f ca="1">MAX(TREND(CJ$5:CJ$24,BZ$5:BZ$24,BZ25),0)</f>
        <v>62.926315789473676</v>
      </c>
      <c r="CK25" s="136">
        <f ca="1">MAX(TREND(CK$5:CK$24,BZ$5:BZ$24,BZ25),0)</f>
        <v>249.49526315789444</v>
      </c>
      <c r="CL25" s="136">
        <f ca="1">MAX(TREND(CL$5:CL$24,BZ$5:BZ$24,BZ25),0)</f>
        <v>372.83894736842103</v>
      </c>
      <c r="CN25" s="135">
        <f>1+CN24</f>
        <v>2021</v>
      </c>
      <c r="CO25" s="136">
        <f ca="1">MAX(TREND(CO$5:CO$24,CN$5:CN$24,CN25),0)</f>
        <v>423.15999999999991</v>
      </c>
      <c r="CP25" s="136">
        <f ca="1">MAX(TREND(CP$5:CP$24,CN$5:CN$24,CN25),0)</f>
        <v>365.17894736842112</v>
      </c>
      <c r="CQ25" s="136">
        <f ca="1">MAX(TREND(CQ$5:CQ$24,CN$5:CN$24,CN25),0)</f>
        <v>250.53894736842105</v>
      </c>
      <c r="CR25" s="136">
        <f ca="1">MAX(TREND(CR$5:CR$24,CN$5:CN$24,CN25),0)</f>
        <v>93.853684210526353</v>
      </c>
      <c r="CS25" s="136">
        <f ca="1">MAX(TREND(CS$5:CS$24,CN$5:CN$24,CN25),0)</f>
        <v>11.201052631578932</v>
      </c>
      <c r="CT25" s="136">
        <f ca="1">MAX(TREND(CT$5:CT$24,CN$5:CN$24,CN25),0)</f>
        <v>0</v>
      </c>
      <c r="CU25" s="136">
        <f ca="1">MAX(TREND(CU$5:CU$24,CN$5:CN$24,CN25),0)</f>
        <v>0</v>
      </c>
      <c r="CV25" s="136">
        <f ca="1">MAX(TREND(CV$5:CV$24,CN$5:CN$24,CN25),0)</f>
        <v>0</v>
      </c>
      <c r="CW25" s="136">
        <f ca="1">MAX(TREND(CW$5:CW$24,CN$5:CN$24,CN25),0)</f>
        <v>0</v>
      </c>
      <c r="CX25" s="136">
        <f ca="1">MAX(TREND(CX$5:CX$24,CN$5:CN$24,CN25),0)</f>
        <v>33.747368421052627</v>
      </c>
      <c r="CY25" s="136">
        <f ca="1">MAX(TREND(CY$5:CY$24,CN$5:CN$24,CN25),0)</f>
        <v>194.79894736842107</v>
      </c>
      <c r="CZ25" s="136">
        <f ca="1">MAX(TREND(CZ$5:CZ$24,CN$5:CN$24,CN25),0)</f>
        <v>311.21263157894714</v>
      </c>
      <c r="DB25" s="135">
        <f>1+DB24</f>
        <v>2021</v>
      </c>
      <c r="DC25" s="136">
        <f ca="1">MAX(TREND(DC$5:DC$24,DB$5:DB$24,DB25),0)</f>
        <v>361.62263157894739</v>
      </c>
      <c r="DD25" s="136">
        <f ca="1">MAX(TREND(DD$5:DD$24,DB$5:DB$24,DB25),0)</f>
        <v>310.77736842105259</v>
      </c>
      <c r="DE25" s="136">
        <f ca="1">MAX(TREND(DE$5:DE$24,DB$5:DB$24,DB25),0)</f>
        <v>194.91157894736841</v>
      </c>
      <c r="DF25" s="136">
        <f ca="1">MAX(TREND(DF$5:DF$24,DB$5:DB$24,DB25),0)</f>
        <v>56.510000000000218</v>
      </c>
      <c r="DG25" s="136">
        <f ca="1">MAX(TREND(DG$5:DG$24,DB$5:DB$24,DB25),0)</f>
        <v>3.538947368421077</v>
      </c>
      <c r="DH25" s="136">
        <f ca="1">MAX(TREND(DH$5:DH$24,DB$5:DB$24,DB25),0)</f>
        <v>0</v>
      </c>
      <c r="DI25" s="136">
        <f ca="1">MAX(TREND(DI$5:DI$24,DB$5:DB$24,DB25),0)</f>
        <v>0</v>
      </c>
      <c r="DJ25" s="136">
        <f ca="1">MAX(TREND(DJ$5:DJ$24,DB$5:DB$24,DB25),0)</f>
        <v>0</v>
      </c>
      <c r="DK25" s="136">
        <f ca="1">MAX(TREND(DK$5:DK$24,DB$5:DB$24,DB25),0)</f>
        <v>0</v>
      </c>
      <c r="DL25" s="136">
        <f ca="1">MAX(TREND(DL$5:DL$24,DB$5:DB$24,DB25),0)</f>
        <v>14.316842105263149</v>
      </c>
      <c r="DM25" s="136">
        <f ca="1">MAX(TREND(DM$5:DM$24,DB$5:DB$24,DB25),0)</f>
        <v>144.04052631578907</v>
      </c>
      <c r="DN25" s="136">
        <f ca="1">MAX(TREND(DN$5:DN$24,DB$5:DB$24,DB25),0)</f>
        <v>250.52157894736843</v>
      </c>
    </row>
    <row r="26" spans="1:118" ht="15" x14ac:dyDescent="0.25">
      <c r="A26" s="127">
        <v>2003</v>
      </c>
      <c r="B26" s="130">
        <v>1</v>
      </c>
      <c r="C26" s="130">
        <v>-6.4903225806451612</v>
      </c>
      <c r="D26" s="131">
        <v>821.20000000000016</v>
      </c>
      <c r="E26" s="131">
        <v>0</v>
      </c>
      <c r="F26" s="131">
        <v>759.2</v>
      </c>
      <c r="G26" s="131">
        <v>0</v>
      </c>
      <c r="H26" s="131">
        <v>697.2</v>
      </c>
      <c r="I26" s="131">
        <v>0</v>
      </c>
      <c r="J26" s="131">
        <v>635.20000000000005</v>
      </c>
      <c r="K26" s="131">
        <v>0</v>
      </c>
      <c r="L26" s="131">
        <v>573.20000000000005</v>
      </c>
      <c r="M26" s="131">
        <v>0</v>
      </c>
      <c r="N26" s="131">
        <v>511.2</v>
      </c>
      <c r="O26" s="131">
        <v>0</v>
      </c>
      <c r="P26" s="131">
        <v>449.20000000000005</v>
      </c>
      <c r="Q26" s="131">
        <v>0</v>
      </c>
      <c r="R26" s="131"/>
      <c r="S26" s="131"/>
      <c r="T26" s="131"/>
      <c r="V26" s="135">
        <f>1+V25</f>
        <v>2022</v>
      </c>
      <c r="W26" s="136">
        <f ca="1">MAX(TREND(W$5:W$24,V$5:V$24,V26),0)</f>
        <v>733.48421052631579</v>
      </c>
      <c r="X26" s="136">
        <f ca="1">MAX(TREND(X$5:X$24,V$5:V$24,V26),0)</f>
        <v>647.9983458646617</v>
      </c>
      <c r="Y26" s="136">
        <f ca="1">MAX(TREND(Y$5:Y$24,V$5:V$24,V26),0)</f>
        <v>551.32293233082703</v>
      </c>
      <c r="Z26" s="136">
        <f ca="1">MAX(TREND(Z$5:Z$24,V$5:V$24,V26),0)</f>
        <v>375.14503759398485</v>
      </c>
      <c r="AA26" s="136">
        <f ca="1">MAX(TREND(AA$5:AA$24,V$5:V$24,V26),0)</f>
        <v>147.95293233082725</v>
      </c>
      <c r="AB26" s="136">
        <f ca="1">MAX(TREND(AB$5:AB$24,V$5:V$24,V26),0)</f>
        <v>27.109624060150395</v>
      </c>
      <c r="AC26" s="136">
        <f ca="1">MAX(TREND(AC$5:AC$24,V$5:V$24,V26),0)</f>
        <v>5.2188721804511147</v>
      </c>
      <c r="AD26" s="136">
        <f ca="1">MAX(TREND(AD$5:AD$24,V$5:V$24,V26),0)</f>
        <v>10.517969924812007</v>
      </c>
      <c r="AE26" s="136">
        <f ca="1">MAX(TREND(AE$5:AE$24,V$5:V$24,V26),0)</f>
        <v>80.460977443609181</v>
      </c>
      <c r="AF26" s="136">
        <f ca="1">MAX(TREND(AF$5:AF$24,V$5:V$24,V26),0)</f>
        <v>254.96398496240613</v>
      </c>
      <c r="AG26" s="136">
        <f ca="1">MAX(TREND(AG$5:AG$24,V$5:V$24,V26),0)</f>
        <v>487.85120300751714</v>
      </c>
      <c r="AH26" s="136">
        <f ca="1">MAX(TREND(AH$5:AH$24,V$5:V$24,V26),0)</f>
        <v>620.22135338345879</v>
      </c>
      <c r="AJ26" s="135">
        <f>1+AJ25</f>
        <v>2022</v>
      </c>
      <c r="AK26" s="136">
        <f ca="1">MAX(TREND(AK$5:AK$24,AJ$5:AJ$24,AJ26),0)</f>
        <v>671.48421052631579</v>
      </c>
      <c r="AL26" s="136">
        <f ca="1">MAX(TREND(AL$5:AL$24,AJ$5:AJ$24,AJ26),0)</f>
        <v>591.23894736842101</v>
      </c>
      <c r="AM26" s="136">
        <f ca="1">MAX(TREND(AM$5:AM$24,AJ$5:AJ$24,AJ26),0)</f>
        <v>489.76887218045113</v>
      </c>
      <c r="AN26" s="136">
        <f ca="1">MAX(TREND(AN$5:AN$24,AJ$5:AJ$24,AJ26),0)</f>
        <v>314.25729323308315</v>
      </c>
      <c r="AO26" s="136">
        <f ca="1">MAX(TREND(AO$5:AO$24,AJ$5:AJ$24,AJ26),0)</f>
        <v>104.0659398496241</v>
      </c>
      <c r="AP26" s="136">
        <f ca="1">MAX(TREND(AP$5:AP$24,AJ$5:AJ$24,AJ26),0)</f>
        <v>9.1713533834586087</v>
      </c>
      <c r="AQ26" s="136">
        <f ca="1">MAX(TREND(AQ$5:AQ$24,AJ$5:AJ$24,AJ26),0)</f>
        <v>0.65849624060150802</v>
      </c>
      <c r="AR26" s="136">
        <f ca="1">MAX(TREND(AR$5:AR$24,AJ$5:AJ$24,AJ26),0)</f>
        <v>2.8183458646616657</v>
      </c>
      <c r="AS26" s="136">
        <f ca="1">MAX(TREND(AS$5:AS$24,AJ$5:AJ$24,AJ26),0)</f>
        <v>43.63390977443612</v>
      </c>
      <c r="AT26" s="136">
        <f ca="1">MAX(TREND(AT$5:AT$24,AJ$5:AJ$24,AJ26),0)</f>
        <v>198.16285714285721</v>
      </c>
      <c r="AU26" s="136">
        <f ca="1">MAX(TREND(AU$5:AU$24,AJ$5:AJ$24,AJ26),0)</f>
        <v>428.15120300752096</v>
      </c>
      <c r="AV26" s="136">
        <f ca="1">MAX(TREND(AV$5:AV$24,AJ$5:AJ$24,AJ26),0)</f>
        <v>558.22135338345834</v>
      </c>
      <c r="AW26" s="147">
        <f t="shared" ca="1" si="8"/>
        <v>3411.6327819548897</v>
      </c>
      <c r="AX26" s="135">
        <f>1+AX25</f>
        <v>2022</v>
      </c>
      <c r="AY26" s="136">
        <f ca="1">MAX(TREND(AY$5:AY$24,AX$5:AX$24,AX26),0)</f>
        <v>609.48421052631568</v>
      </c>
      <c r="AZ26" s="136">
        <f ca="1">MAX(TREND(AZ$5:AZ$24,AX$5:AX$24,AX26),0)</f>
        <v>534.47954887218054</v>
      </c>
      <c r="BA26" s="136">
        <f ca="1">MAX(TREND(BA$5:BA$24,AX$5:AX$24,AX26),0)</f>
        <v>428.48150375939849</v>
      </c>
      <c r="BB26" s="136">
        <f ca="1">MAX(TREND(BB$5:BB$24,AX$5:AX$24,AX26),0)</f>
        <v>253.73887218045093</v>
      </c>
      <c r="BC26" s="136">
        <f ca="1">MAX(TREND(BC$5:BC$24,AX$5:AX$24,AX26),0)</f>
        <v>68.58375939849617</v>
      </c>
      <c r="BD26" s="136">
        <f ca="1">MAX(TREND(BD$5:BD$24,AX$5:AX$24,AX26),0)</f>
        <v>1.6954887218045087</v>
      </c>
      <c r="BE26" s="136">
        <f ca="1">MAX(TREND(BE$5:BE$24,AX$5:AX$24,AX26),0)</f>
        <v>0</v>
      </c>
      <c r="BF26" s="136">
        <f ca="1">MAX(TREND(BF$5:BF$24,AX$5:AX$24,AX26),0)</f>
        <v>0.37533834586465886</v>
      </c>
      <c r="BG26" s="136">
        <f ca="1">MAX(TREND(BG$5:BG$24,AX$5:AX$24,AX26),0)</f>
        <v>19.014135338345866</v>
      </c>
      <c r="BH26" s="136">
        <f ca="1">MAX(TREND(BH$5:BH$24,AX$5:AX$24,AX26),0)</f>
        <v>146.1227067669173</v>
      </c>
      <c r="BI26" s="136">
        <f ca="1">MAX(TREND(BI$5:BI$24,AX$5:AX$24,AX26),0)</f>
        <v>368.68225563909891</v>
      </c>
      <c r="BJ26" s="136">
        <f ca="1">MAX(TREND(BJ$5:BJ$24,AX$5:AX$24,AX26),0)</f>
        <v>496.22135338345856</v>
      </c>
      <c r="BL26" s="135">
        <f>1+BL25</f>
        <v>2022</v>
      </c>
      <c r="BM26" s="136">
        <f ca="1">MAX(TREND(BM$5:BM$24,BL$5:BL$24,BL26),0)</f>
        <v>547.48421052631579</v>
      </c>
      <c r="BN26" s="136">
        <f ca="1">MAX(TREND(BN$5:BN$24,BL$5:BL$24,BL26),0)</f>
        <v>477.7201503759398</v>
      </c>
      <c r="BO26" s="136">
        <f ca="1">MAX(TREND(BO$5:BO$24,BL$5:BL$24,BL26),0)</f>
        <v>367.87819548872181</v>
      </c>
      <c r="BP26" s="136">
        <f ca="1">MAX(TREND(BP$5:BP$24,BL$5:BL$24,BL26),0)</f>
        <v>196.0815037593984</v>
      </c>
      <c r="BQ26" s="136">
        <f ca="1">MAX(TREND(BQ$5:BQ$24,BL$5:BL$24,BL26),0)</f>
        <v>42.263984962406028</v>
      </c>
      <c r="BR26" s="136">
        <f ca="1">MAX(TREND(BR$5:BR$24,BL$5:BL$24,BL26),0)</f>
        <v>8.6541353383466912E-2</v>
      </c>
      <c r="BS26" s="136">
        <f ca="1">MAX(TREND(BS$5:BS$24,BL$5:BL$24,BL26),0)</f>
        <v>0</v>
      </c>
      <c r="BT26" s="136">
        <f ca="1">MAX(TREND(BT$5:BT$24,BL$5:BL$24,BL26),0)</f>
        <v>0</v>
      </c>
      <c r="BU26" s="136">
        <f ca="1">MAX(TREND(BU$5:BU$24,BL$5:BL$24,BL26),0)</f>
        <v>5.7176691729323181</v>
      </c>
      <c r="BV26" s="136">
        <f ca="1">MAX(TREND(BV$5:BV$24,BL$5:BL$24,BL26),0)</f>
        <v>101.02962406015035</v>
      </c>
      <c r="BW26" s="136">
        <f ca="1">MAX(TREND(BW$5:BW$24,BL$5:BL$24,BL26),0)</f>
        <v>310.16751879699132</v>
      </c>
      <c r="BX26" s="136">
        <f ca="1">MAX(TREND(BX$5:BX$24,BL$5:BL$24,BL26),0)</f>
        <v>434.14135338345864</v>
      </c>
      <c r="BZ26" s="135">
        <f>1+BZ25</f>
        <v>2022</v>
      </c>
      <c r="CA26" s="136">
        <f ca="1">MAX(TREND(CA$5:CA$24,BZ$5:BZ$24,BZ26),0)</f>
        <v>485.4984210526315</v>
      </c>
      <c r="CB26" s="136">
        <f ca="1">MAX(TREND(CB$5:CB$24,BZ$5:BZ$24,BZ26),0)</f>
        <v>421.14045112781946</v>
      </c>
      <c r="CC26" s="136">
        <f ca="1">MAX(TREND(CC$5:CC$24,BZ$5:BZ$24,BZ26),0)</f>
        <v>308.35917293233086</v>
      </c>
      <c r="CD26" s="136">
        <f ca="1">MAX(TREND(CD$5:CD$24,BZ$5:BZ$24,BZ26),0)</f>
        <v>142.59563909774442</v>
      </c>
      <c r="CE26" s="136">
        <f ca="1">MAX(TREND(CE$5:CE$24,BZ$5:BZ$24,BZ26),0)</f>
        <v>23.914511278195391</v>
      </c>
      <c r="CF26" s="136">
        <f ca="1">MAX(TREND(CF$5:CF$24,BZ$5:BZ$24,BZ26),0)</f>
        <v>3.3082706766922598E-3</v>
      </c>
      <c r="CG26" s="136">
        <f ca="1">MAX(TREND(CG$5:CG$24,BZ$5:BZ$24,BZ26),0)</f>
        <v>0</v>
      </c>
      <c r="CH26" s="136">
        <f ca="1">MAX(TREND(CH$5:CH$24,BZ$5:BZ$24,BZ26),0)</f>
        <v>0</v>
      </c>
      <c r="CI26" s="136">
        <f ca="1">MAX(TREND(CI$5:CI$24,BZ$5:BZ$24,BZ26),0)</f>
        <v>0.23285714285714221</v>
      </c>
      <c r="CJ26" s="136">
        <f ca="1">MAX(TREND(CJ$5:CJ$24,BZ$5:BZ$24,BZ26),0)</f>
        <v>62.76406015037594</v>
      </c>
      <c r="CK26" s="136">
        <f ca="1">MAX(TREND(CK$5:CK$24,BZ$5:BZ$24,BZ26),0)</f>
        <v>253.60624060150258</v>
      </c>
      <c r="CL26" s="136">
        <f ca="1">MAX(TREND(CL$5:CL$24,BZ$5:BZ$24,BZ26),0)</f>
        <v>372.01503759398497</v>
      </c>
      <c r="CN26" s="135">
        <f>1+CN25</f>
        <v>2022</v>
      </c>
      <c r="CO26" s="136">
        <f ca="1">MAX(TREND(CO$5:CO$24,CN$5:CN$24,CN26),0)</f>
        <v>423.58142857142849</v>
      </c>
      <c r="CP26" s="136">
        <f ca="1">MAX(TREND(CP$5:CP$24,CN$5:CN$24,CN26),0)</f>
        <v>365.45503759398497</v>
      </c>
      <c r="CQ26" s="136">
        <f ca="1">MAX(TREND(CQ$5:CQ$24,CN$5:CN$24,CN26),0)</f>
        <v>250.7821804511278</v>
      </c>
      <c r="CR26" s="136">
        <f ca="1">MAX(TREND(CR$5:CR$24,CN$5:CN$24,CN26),0)</f>
        <v>95.524511278195405</v>
      </c>
      <c r="CS26" s="136">
        <f ca="1">MAX(TREND(CS$5:CS$24,CN$5:CN$24,CN26),0)</f>
        <v>11.500676691729268</v>
      </c>
      <c r="CT26" s="136">
        <f ca="1">MAX(TREND(CT$5:CT$24,CN$5:CN$24,CN26),0)</f>
        <v>0</v>
      </c>
      <c r="CU26" s="136">
        <f ca="1">MAX(TREND(CU$5:CU$24,CN$5:CN$24,CN26),0)</f>
        <v>0</v>
      </c>
      <c r="CV26" s="136">
        <f ca="1">MAX(TREND(CV$5:CV$24,CN$5:CN$24,CN26),0)</f>
        <v>0</v>
      </c>
      <c r="CW26" s="136">
        <f ca="1">MAX(TREND(CW$5:CW$24,CN$5:CN$24,CN26),0)</f>
        <v>0</v>
      </c>
      <c r="CX26" s="136">
        <f ca="1">MAX(TREND(CX$5:CX$24,CN$5:CN$24,CN26),0)</f>
        <v>33.686165413533828</v>
      </c>
      <c r="CY26" s="136">
        <f ca="1">MAX(TREND(CY$5:CY$24,CN$5:CN$24,CN26),0)</f>
        <v>198.66932330827058</v>
      </c>
      <c r="CZ26" s="136">
        <f ca="1">MAX(TREND(CZ$5:CZ$24,CN$5:CN$24,CN26),0)</f>
        <v>310.37240601503754</v>
      </c>
      <c r="DB26" s="135">
        <f>1+DB25</f>
        <v>2022</v>
      </c>
      <c r="DC26" s="136">
        <f ca="1">MAX(TREND(DC$5:DC$24,DB$5:DB$24,DB26),0)</f>
        <v>362.03954887218043</v>
      </c>
      <c r="DD26" s="136">
        <f ca="1">MAX(TREND(DD$5:DD$24,DB$5:DB$24,DB26),0)</f>
        <v>311.17330827067661</v>
      </c>
      <c r="DE26" s="136">
        <f ca="1">MAX(TREND(DE$5:DE$24,DB$5:DB$24,DB26),0)</f>
        <v>195.08458646616538</v>
      </c>
      <c r="DF26" s="136">
        <f ca="1">MAX(TREND(DF$5:DF$24,DB$5:DB$24,DB26),0)</f>
        <v>57.66571428571433</v>
      </c>
      <c r="DG26" s="136">
        <f ca="1">MAX(TREND(DG$5:DG$24,DB$5:DB$24,DB26),0)</f>
        <v>3.6536090225564237</v>
      </c>
      <c r="DH26" s="136">
        <f ca="1">MAX(TREND(DH$5:DH$24,DB$5:DB$24,DB26),0)</f>
        <v>0</v>
      </c>
      <c r="DI26" s="136">
        <f ca="1">MAX(TREND(DI$5:DI$24,DB$5:DB$24,DB26),0)</f>
        <v>0</v>
      </c>
      <c r="DJ26" s="136">
        <f ca="1">MAX(TREND(DJ$5:DJ$24,DB$5:DB$24,DB26),0)</f>
        <v>0</v>
      </c>
      <c r="DK26" s="136">
        <f ca="1">MAX(TREND(DK$5:DK$24,DB$5:DB$24,DB26),0)</f>
        <v>0</v>
      </c>
      <c r="DL26" s="136">
        <f ca="1">MAX(TREND(DL$5:DL$24,DB$5:DB$24,DB26),0)</f>
        <v>14.267969924812022</v>
      </c>
      <c r="DM26" s="136">
        <f ca="1">MAX(TREND(DM$5:DM$24,DB$5:DB$24,DB26),0)</f>
        <v>147.47248120300719</v>
      </c>
      <c r="DN26" s="136">
        <f ca="1">MAX(TREND(DN$5:DN$24,DB$5:DB$24,DB26),0)</f>
        <v>249.61887218045126</v>
      </c>
    </row>
    <row r="27" spans="1:118" x14ac:dyDescent="0.2">
      <c r="A27" s="127">
        <v>2003</v>
      </c>
      <c r="B27" s="130">
        <v>2</v>
      </c>
      <c r="C27" s="130">
        <v>-5.4357142857142842</v>
      </c>
      <c r="D27" s="131">
        <v>712.20000000000016</v>
      </c>
      <c r="E27" s="131">
        <v>0</v>
      </c>
      <c r="F27" s="131">
        <v>656.20000000000016</v>
      </c>
      <c r="G27" s="131">
        <v>0</v>
      </c>
      <c r="H27" s="131">
        <v>600.20000000000005</v>
      </c>
      <c r="I27" s="131">
        <v>0</v>
      </c>
      <c r="J27" s="131">
        <v>544.20000000000005</v>
      </c>
      <c r="K27" s="131">
        <v>0</v>
      </c>
      <c r="L27" s="131">
        <v>488.2</v>
      </c>
      <c r="M27" s="131">
        <v>0</v>
      </c>
      <c r="N27" s="131">
        <v>432.2</v>
      </c>
      <c r="O27" s="131">
        <v>0</v>
      </c>
      <c r="P27" s="131">
        <v>376.19999999999993</v>
      </c>
      <c r="Q27" s="131">
        <v>0</v>
      </c>
      <c r="R27" s="131"/>
      <c r="S27" s="131"/>
      <c r="T27" s="131"/>
      <c r="AJ27" s="129"/>
      <c r="AK27" s="129"/>
      <c r="AW27" s="147"/>
      <c r="AX27" s="129"/>
      <c r="AY27" s="129"/>
      <c r="BL27" s="129"/>
      <c r="BM27" s="129"/>
      <c r="BZ27" s="129"/>
      <c r="CA27" s="129"/>
      <c r="CN27" s="129"/>
      <c r="CO27" s="129"/>
      <c r="DB27" s="129"/>
      <c r="DC27" s="129"/>
    </row>
    <row r="28" spans="1:118" x14ac:dyDescent="0.2">
      <c r="A28" s="127">
        <v>2003</v>
      </c>
      <c r="B28" s="130">
        <v>3</v>
      </c>
      <c r="C28" s="130">
        <v>1.0935483870967742</v>
      </c>
      <c r="D28" s="131">
        <v>586.09999999999991</v>
      </c>
      <c r="E28" s="131">
        <v>0</v>
      </c>
      <c r="F28" s="131">
        <v>524.09999999999991</v>
      </c>
      <c r="G28" s="131">
        <v>0</v>
      </c>
      <c r="H28" s="131">
        <v>462.09999999999997</v>
      </c>
      <c r="I28" s="131">
        <v>0</v>
      </c>
      <c r="J28" s="131">
        <v>400.09999999999997</v>
      </c>
      <c r="K28" s="131">
        <v>0</v>
      </c>
      <c r="L28" s="131">
        <v>339.49999999999994</v>
      </c>
      <c r="M28" s="131">
        <v>1.4000000000000004</v>
      </c>
      <c r="N28" s="131">
        <v>281.2999999999999</v>
      </c>
      <c r="O28" s="131">
        <v>5.1999999999999993</v>
      </c>
      <c r="P28" s="131">
        <v>228.59999999999994</v>
      </c>
      <c r="Q28" s="131">
        <v>14.5</v>
      </c>
      <c r="R28" s="131"/>
      <c r="S28" s="131"/>
      <c r="T28" s="131"/>
      <c r="V28" s="137" t="s">
        <v>105</v>
      </c>
      <c r="W28" s="131">
        <f t="shared" ref="W28:AH28" ca="1" si="23">AVERAGE(W15:W24)</f>
        <v>733.55</v>
      </c>
      <c r="X28" s="131">
        <f ca="1">AVERAGE(X15:X24)</f>
        <v>648.03000000000009</v>
      </c>
      <c r="Y28" s="131">
        <f t="shared" ca="1" si="23"/>
        <v>554.63</v>
      </c>
      <c r="Z28" s="131">
        <f t="shared" ca="1" si="23"/>
        <v>358.41999999999996</v>
      </c>
      <c r="AA28" s="131">
        <f t="shared" ca="1" si="23"/>
        <v>151.02000000000001</v>
      </c>
      <c r="AB28" s="131">
        <f t="shared" ca="1" si="23"/>
        <v>30.98</v>
      </c>
      <c r="AC28" s="131">
        <f t="shared" ca="1" si="23"/>
        <v>5.9599999999999991</v>
      </c>
      <c r="AD28" s="131">
        <f t="shared" ca="1" si="23"/>
        <v>9.6700000000000017</v>
      </c>
      <c r="AE28" s="131">
        <f t="shared" ca="1" si="23"/>
        <v>81.53</v>
      </c>
      <c r="AF28" s="131">
        <f t="shared" ca="1" si="23"/>
        <v>257.72000000000003</v>
      </c>
      <c r="AG28" s="131">
        <f t="shared" ca="1" si="23"/>
        <v>460.55</v>
      </c>
      <c r="AH28" s="131">
        <f t="shared" ca="1" si="23"/>
        <v>611.42000000000007</v>
      </c>
      <c r="AJ28" s="137" t="s">
        <v>105</v>
      </c>
      <c r="AK28" s="131">
        <f ca="1">AVERAGE(AK15:AK24)</f>
        <v>671.55</v>
      </c>
      <c r="AL28" s="131">
        <f t="shared" ref="AL28:AV28" ca="1" si="24">AVERAGE(AL15:AL24)</f>
        <v>591.43000000000006</v>
      </c>
      <c r="AM28" s="131">
        <f t="shared" ca="1" si="24"/>
        <v>493.21999999999997</v>
      </c>
      <c r="AN28" s="131">
        <f ca="1">AVERAGE(AN15:AN24)</f>
        <v>298.61</v>
      </c>
      <c r="AO28" s="131">
        <f t="shared" ca="1" si="24"/>
        <v>105.4</v>
      </c>
      <c r="AP28" s="131">
        <f t="shared" ca="1" si="24"/>
        <v>12.239999999999998</v>
      </c>
      <c r="AQ28" s="131">
        <f t="shared" ca="1" si="24"/>
        <v>1.0100000000000002</v>
      </c>
      <c r="AR28" s="131">
        <f t="shared" ca="1" si="24"/>
        <v>2.3899999999999997</v>
      </c>
      <c r="AS28" s="131">
        <f t="shared" ca="1" si="24"/>
        <v>45.749999999999993</v>
      </c>
      <c r="AT28" s="131">
        <f t="shared" ca="1" si="24"/>
        <v>200.71</v>
      </c>
      <c r="AU28" s="131">
        <f t="shared" ca="1" si="24"/>
        <v>400.69</v>
      </c>
      <c r="AV28" s="131">
        <f t="shared" ca="1" si="24"/>
        <v>549.42000000000007</v>
      </c>
      <c r="AW28" s="147">
        <f t="shared" ca="1" si="8"/>
        <v>3372.42</v>
      </c>
      <c r="AX28" s="137" t="s">
        <v>105</v>
      </c>
      <c r="AY28" s="131">
        <f t="shared" ref="AY28:BJ28" ca="1" si="25">AVERAGE(AY15:AY24)</f>
        <v>609.54999999999995</v>
      </c>
      <c r="AZ28" s="131">
        <f t="shared" ca="1" si="25"/>
        <v>534.83000000000004</v>
      </c>
      <c r="BA28" s="131">
        <f t="shared" ca="1" si="25"/>
        <v>432.2000000000001</v>
      </c>
      <c r="BB28" s="131">
        <f t="shared" ca="1" si="25"/>
        <v>239.82</v>
      </c>
      <c r="BC28" s="131">
        <f t="shared" ca="1" si="25"/>
        <v>68.099999999999994</v>
      </c>
      <c r="BD28" s="131">
        <f t="shared" ca="1" si="25"/>
        <v>3.22</v>
      </c>
      <c r="BE28" s="131">
        <f t="shared" ca="1" si="25"/>
        <v>1.9999999999999928E-2</v>
      </c>
      <c r="BF28" s="131">
        <f t="shared" ca="1" si="25"/>
        <v>0.25999999999999995</v>
      </c>
      <c r="BG28" s="131">
        <f t="shared" ca="1" si="25"/>
        <v>21.33</v>
      </c>
      <c r="BH28" s="131">
        <f t="shared" ca="1" si="25"/>
        <v>148.63</v>
      </c>
      <c r="BI28" s="131">
        <f t="shared" ca="1" si="25"/>
        <v>340.99000000000007</v>
      </c>
      <c r="BJ28" s="131">
        <f t="shared" ca="1" si="25"/>
        <v>487.42000000000007</v>
      </c>
      <c r="BL28" s="137" t="s">
        <v>105</v>
      </c>
      <c r="BM28" s="131">
        <f t="shared" ref="BM28:BX28" ca="1" si="26">AVERAGE(BM15:BM24)</f>
        <v>547.54999999999995</v>
      </c>
      <c r="BN28" s="131">
        <f t="shared" ca="1" si="26"/>
        <v>478.2299999999999</v>
      </c>
      <c r="BO28" s="131">
        <f t="shared" ca="1" si="26"/>
        <v>372.04000000000008</v>
      </c>
      <c r="BP28" s="131">
        <f t="shared" ca="1" si="26"/>
        <v>184.32999999999998</v>
      </c>
      <c r="BQ28" s="131">
        <f t="shared" ca="1" si="26"/>
        <v>40.050000000000004</v>
      </c>
      <c r="BR28" s="131">
        <f t="shared" ca="1" si="26"/>
        <v>0.45000000000000018</v>
      </c>
      <c r="BS28" s="131">
        <f t="shared" ca="1" si="26"/>
        <v>0</v>
      </c>
      <c r="BT28" s="131">
        <f t="shared" ca="1" si="26"/>
        <v>0</v>
      </c>
      <c r="BU28" s="131">
        <f t="shared" ca="1" si="26"/>
        <v>7.5200000000000014</v>
      </c>
      <c r="BV28" s="131">
        <f t="shared" ca="1" si="26"/>
        <v>103.38000000000002</v>
      </c>
      <c r="BW28" s="131">
        <f t="shared" ca="1" si="26"/>
        <v>282.42999999999995</v>
      </c>
      <c r="BX28" s="131">
        <f t="shared" ca="1" si="26"/>
        <v>425.42000000000007</v>
      </c>
      <c r="BZ28" s="137" t="s">
        <v>105</v>
      </c>
      <c r="CA28" s="131">
        <f t="shared" ref="CA28:CL28" ca="1" si="27">AVERAGE(CA15:CA24)</f>
        <v>485.5499999999999</v>
      </c>
      <c r="CB28" s="131">
        <f t="shared" ca="1" si="27"/>
        <v>421.7299999999999</v>
      </c>
      <c r="CC28" s="131">
        <f t="shared" ca="1" si="27"/>
        <v>313.12</v>
      </c>
      <c r="CD28" s="131">
        <f t="shared" ca="1" si="27"/>
        <v>132.71</v>
      </c>
      <c r="CE28" s="131">
        <f t="shared" ca="1" si="27"/>
        <v>20.99</v>
      </c>
      <c r="CF28" s="131">
        <f t="shared" ca="1" si="27"/>
        <v>4.0000000000000036E-2</v>
      </c>
      <c r="CG28" s="131">
        <f t="shared" ca="1" si="27"/>
        <v>0</v>
      </c>
      <c r="CH28" s="131">
        <f t="shared" ca="1" si="27"/>
        <v>0</v>
      </c>
      <c r="CI28" s="131">
        <f t="shared" ca="1" si="27"/>
        <v>1.4600000000000002</v>
      </c>
      <c r="CJ28" s="131">
        <f t="shared" ca="1" si="27"/>
        <v>65.039999999999992</v>
      </c>
      <c r="CK28" s="131">
        <f t="shared" ca="1" si="27"/>
        <v>226.25000000000009</v>
      </c>
      <c r="CL28" s="131">
        <f t="shared" ca="1" si="27"/>
        <v>363.49999999999994</v>
      </c>
      <c r="CN28" s="137" t="s">
        <v>105</v>
      </c>
      <c r="CO28" s="131">
        <f t="shared" ref="CO28:CZ28" ca="1" si="28">AVERAGE(CO15:CO24)</f>
        <v>423.61</v>
      </c>
      <c r="CP28" s="131">
        <f t="shared" ca="1" si="28"/>
        <v>365.77</v>
      </c>
      <c r="CQ28" s="131">
        <f t="shared" ca="1" si="28"/>
        <v>256.07000000000005</v>
      </c>
      <c r="CR28" s="131">
        <f t="shared" ca="1" si="28"/>
        <v>87.070000000000007</v>
      </c>
      <c r="CS28" s="131">
        <f t="shared" ca="1" si="28"/>
        <v>9.23</v>
      </c>
      <c r="CT28" s="131">
        <f t="shared" ca="1" si="28"/>
        <v>0</v>
      </c>
      <c r="CU28" s="131">
        <f t="shared" ca="1" si="28"/>
        <v>0</v>
      </c>
      <c r="CV28" s="131">
        <f t="shared" ca="1" si="28"/>
        <v>0</v>
      </c>
      <c r="CW28" s="131">
        <f t="shared" ca="1" si="28"/>
        <v>7.0000000000000104E-2</v>
      </c>
      <c r="CX28" s="131">
        <f t="shared" ca="1" si="28"/>
        <v>35.1</v>
      </c>
      <c r="CY28" s="131">
        <f t="shared" ca="1" si="28"/>
        <v>173.03</v>
      </c>
      <c r="CZ28" s="131">
        <f t="shared" ca="1" si="28"/>
        <v>302.12000000000006</v>
      </c>
      <c r="DB28" s="137" t="s">
        <v>105</v>
      </c>
      <c r="DC28" s="131">
        <f t="shared" ref="DC28:DN28" ca="1" si="29">AVERAGE(DC15:DC24)</f>
        <v>362.00999999999993</v>
      </c>
      <c r="DD28" s="131">
        <f t="shared" ca="1" si="29"/>
        <v>310.67</v>
      </c>
      <c r="DE28" s="131">
        <f t="shared" ca="1" si="29"/>
        <v>201.05</v>
      </c>
      <c r="DF28" s="131">
        <f t="shared" ca="1" si="29"/>
        <v>51.39</v>
      </c>
      <c r="DG28" s="131">
        <f t="shared" ca="1" si="29"/>
        <v>2.8</v>
      </c>
      <c r="DH28" s="131">
        <f t="shared" ca="1" si="29"/>
        <v>0</v>
      </c>
      <c r="DI28" s="131">
        <f t="shared" ca="1" si="29"/>
        <v>0</v>
      </c>
      <c r="DJ28" s="131">
        <f t="shared" ca="1" si="29"/>
        <v>0</v>
      </c>
      <c r="DK28" s="131">
        <f t="shared" ca="1" si="29"/>
        <v>0</v>
      </c>
      <c r="DL28" s="131">
        <f t="shared" ca="1" si="29"/>
        <v>14.879999999999999</v>
      </c>
      <c r="DM28" s="131">
        <f t="shared" ca="1" si="29"/>
        <v>125.4</v>
      </c>
      <c r="DN28" s="131">
        <f t="shared" ca="1" si="29"/>
        <v>242.37000000000003</v>
      </c>
    </row>
    <row r="29" spans="1:118" x14ac:dyDescent="0.2">
      <c r="A29" s="127">
        <v>2003</v>
      </c>
      <c r="B29" s="130">
        <v>4</v>
      </c>
      <c r="C29" s="130">
        <v>7.9799999999999995</v>
      </c>
      <c r="D29" s="131">
        <v>361.29999999999995</v>
      </c>
      <c r="E29" s="131">
        <v>0.69999999999999929</v>
      </c>
      <c r="F29" s="131">
        <v>303.3</v>
      </c>
      <c r="G29" s="131">
        <v>2.6999999999999993</v>
      </c>
      <c r="H29" s="131">
        <v>248.10000000000002</v>
      </c>
      <c r="I29" s="131">
        <v>7.5</v>
      </c>
      <c r="J29" s="131">
        <v>194.10000000000002</v>
      </c>
      <c r="K29" s="131">
        <v>13.5</v>
      </c>
      <c r="L29" s="131">
        <v>142.5</v>
      </c>
      <c r="M29" s="131">
        <v>21.9</v>
      </c>
      <c r="N29" s="131">
        <v>100.2</v>
      </c>
      <c r="O29" s="131">
        <v>39.599999999999994</v>
      </c>
      <c r="P29" s="131">
        <v>69.5</v>
      </c>
      <c r="Q29" s="131">
        <v>68.900000000000006</v>
      </c>
      <c r="R29" s="131"/>
      <c r="S29" s="131"/>
      <c r="T29" s="131"/>
      <c r="AW29" s="238"/>
    </row>
    <row r="30" spans="1:118" x14ac:dyDescent="0.2">
      <c r="A30" s="127">
        <v>2003</v>
      </c>
      <c r="B30" s="130">
        <v>5</v>
      </c>
      <c r="C30" s="130">
        <v>13.245161290322581</v>
      </c>
      <c r="D30" s="131">
        <v>209.40000000000003</v>
      </c>
      <c r="E30" s="131">
        <v>0</v>
      </c>
      <c r="F30" s="131">
        <v>147.60000000000002</v>
      </c>
      <c r="G30" s="131">
        <v>0.19999999999999929</v>
      </c>
      <c r="H30" s="131">
        <v>90.5</v>
      </c>
      <c r="I30" s="131">
        <v>5.0999999999999979</v>
      </c>
      <c r="J30" s="131">
        <v>46.2</v>
      </c>
      <c r="K30" s="131">
        <v>22.799999999999997</v>
      </c>
      <c r="L30" s="131">
        <v>19.2</v>
      </c>
      <c r="M30" s="131">
        <v>57.800000000000011</v>
      </c>
      <c r="N30" s="131">
        <v>3.7000000000000011</v>
      </c>
      <c r="O30" s="131">
        <v>104.3</v>
      </c>
      <c r="P30" s="131">
        <v>0</v>
      </c>
      <c r="Q30" s="131">
        <v>162.59999999999997</v>
      </c>
      <c r="R30" s="131"/>
      <c r="S30" s="131"/>
      <c r="T30" s="131"/>
      <c r="V30" s="127"/>
      <c r="W30" s="127"/>
      <c r="AW30" s="238"/>
    </row>
    <row r="31" spans="1:118" x14ac:dyDescent="0.2">
      <c r="A31" s="127">
        <v>2003</v>
      </c>
      <c r="B31" s="130">
        <v>6</v>
      </c>
      <c r="C31" s="130">
        <v>19.13</v>
      </c>
      <c r="D31" s="131">
        <v>57.300000000000004</v>
      </c>
      <c r="E31" s="131">
        <v>31.200000000000003</v>
      </c>
      <c r="F31" s="131">
        <v>30.300000000000004</v>
      </c>
      <c r="G31" s="131">
        <v>64.2</v>
      </c>
      <c r="H31" s="131">
        <v>14.2</v>
      </c>
      <c r="I31" s="131">
        <v>108.1</v>
      </c>
      <c r="J31" s="131">
        <v>4.1999999999999993</v>
      </c>
      <c r="K31" s="131">
        <v>158.1</v>
      </c>
      <c r="L31" s="131">
        <v>0.59999999999999964</v>
      </c>
      <c r="M31" s="131">
        <v>214.50000000000003</v>
      </c>
      <c r="N31" s="131">
        <v>0</v>
      </c>
      <c r="O31" s="131">
        <v>273.90000000000003</v>
      </c>
      <c r="P31" s="131">
        <v>0</v>
      </c>
      <c r="Q31" s="131">
        <v>333.9</v>
      </c>
      <c r="R31" s="131"/>
      <c r="S31" s="131"/>
      <c r="T31" s="131"/>
      <c r="V31" s="132" t="str">
        <f>E1</f>
        <v>CDD20</v>
      </c>
      <c r="W31" s="133" t="s">
        <v>55</v>
      </c>
      <c r="X31" s="133" t="s">
        <v>56</v>
      </c>
      <c r="Y31" s="133" t="s">
        <v>57</v>
      </c>
      <c r="Z31" s="133" t="s">
        <v>58</v>
      </c>
      <c r="AA31" s="133" t="s">
        <v>46</v>
      </c>
      <c r="AB31" s="133" t="s">
        <v>47</v>
      </c>
      <c r="AC31" s="133" t="s">
        <v>48</v>
      </c>
      <c r="AD31" s="134" t="s">
        <v>49</v>
      </c>
      <c r="AE31" s="134" t="s">
        <v>104</v>
      </c>
      <c r="AF31" s="134" t="s">
        <v>63</v>
      </c>
      <c r="AG31" s="134" t="s">
        <v>64</v>
      </c>
      <c r="AH31" s="134" t="s">
        <v>65</v>
      </c>
      <c r="AJ31" s="132" t="str">
        <f>G1</f>
        <v>CDD18</v>
      </c>
      <c r="AK31" s="133" t="s">
        <v>55</v>
      </c>
      <c r="AL31" s="133" t="s">
        <v>56</v>
      </c>
      <c r="AM31" s="133" t="s">
        <v>57</v>
      </c>
      <c r="AN31" s="133" t="s">
        <v>58</v>
      </c>
      <c r="AO31" s="133" t="s">
        <v>46</v>
      </c>
      <c r="AP31" s="133" t="s">
        <v>47</v>
      </c>
      <c r="AQ31" s="133" t="s">
        <v>48</v>
      </c>
      <c r="AR31" s="134" t="s">
        <v>49</v>
      </c>
      <c r="AS31" s="134" t="s">
        <v>104</v>
      </c>
      <c r="AT31" s="134" t="s">
        <v>63</v>
      </c>
      <c r="AU31" s="134" t="s">
        <v>64</v>
      </c>
      <c r="AV31" s="134" t="s">
        <v>65</v>
      </c>
      <c r="AW31" s="147"/>
      <c r="AX31" s="132" t="str">
        <f>I1</f>
        <v>CDD16</v>
      </c>
      <c r="AY31" s="133" t="s">
        <v>55</v>
      </c>
      <c r="AZ31" s="133" t="s">
        <v>56</v>
      </c>
      <c r="BA31" s="133" t="s">
        <v>57</v>
      </c>
      <c r="BB31" s="133" t="s">
        <v>58</v>
      </c>
      <c r="BC31" s="133" t="s">
        <v>46</v>
      </c>
      <c r="BD31" s="133" t="s">
        <v>47</v>
      </c>
      <c r="BE31" s="133" t="s">
        <v>48</v>
      </c>
      <c r="BF31" s="134" t="s">
        <v>49</v>
      </c>
      <c r="BG31" s="134" t="s">
        <v>104</v>
      </c>
      <c r="BH31" s="134" t="s">
        <v>63</v>
      </c>
      <c r="BI31" s="134" t="s">
        <v>64</v>
      </c>
      <c r="BJ31" s="134" t="s">
        <v>65</v>
      </c>
      <c r="BL31" s="132" t="str">
        <f>K1</f>
        <v>CDD14</v>
      </c>
      <c r="BM31" s="133" t="s">
        <v>55</v>
      </c>
      <c r="BN31" s="133" t="s">
        <v>56</v>
      </c>
      <c r="BO31" s="133" t="s">
        <v>57</v>
      </c>
      <c r="BP31" s="133" t="s">
        <v>58</v>
      </c>
      <c r="BQ31" s="133" t="s">
        <v>46</v>
      </c>
      <c r="BR31" s="133" t="s">
        <v>47</v>
      </c>
      <c r="BS31" s="133" t="s">
        <v>48</v>
      </c>
      <c r="BT31" s="134" t="s">
        <v>49</v>
      </c>
      <c r="BU31" s="134" t="s">
        <v>104</v>
      </c>
      <c r="BV31" s="134" t="s">
        <v>63</v>
      </c>
      <c r="BW31" s="134" t="s">
        <v>64</v>
      </c>
      <c r="BX31" s="134" t="s">
        <v>65</v>
      </c>
      <c r="BZ31" s="132" t="str">
        <f>M1</f>
        <v>CDD12</v>
      </c>
      <c r="CA31" s="133" t="s">
        <v>55</v>
      </c>
      <c r="CB31" s="133" t="s">
        <v>56</v>
      </c>
      <c r="CC31" s="133" t="s">
        <v>57</v>
      </c>
      <c r="CD31" s="133" t="s">
        <v>58</v>
      </c>
      <c r="CE31" s="133" t="s">
        <v>46</v>
      </c>
      <c r="CF31" s="133" t="s">
        <v>47</v>
      </c>
      <c r="CG31" s="133" t="s">
        <v>48</v>
      </c>
      <c r="CH31" s="134" t="s">
        <v>49</v>
      </c>
      <c r="CI31" s="134" t="s">
        <v>104</v>
      </c>
      <c r="CJ31" s="134" t="s">
        <v>63</v>
      </c>
      <c r="CK31" s="134" t="s">
        <v>64</v>
      </c>
      <c r="CL31" s="134" t="s">
        <v>65</v>
      </c>
      <c r="CN31" s="132" t="str">
        <f>O1</f>
        <v>CDD10</v>
      </c>
      <c r="CO31" s="133" t="s">
        <v>55</v>
      </c>
      <c r="CP31" s="133" t="s">
        <v>56</v>
      </c>
      <c r="CQ31" s="133" t="s">
        <v>57</v>
      </c>
      <c r="CR31" s="133" t="s">
        <v>58</v>
      </c>
      <c r="CS31" s="133" t="s">
        <v>46</v>
      </c>
      <c r="CT31" s="133" t="s">
        <v>47</v>
      </c>
      <c r="CU31" s="133" t="s">
        <v>48</v>
      </c>
      <c r="CV31" s="134" t="s">
        <v>49</v>
      </c>
      <c r="CW31" s="134" t="s">
        <v>104</v>
      </c>
      <c r="CX31" s="134" t="s">
        <v>63</v>
      </c>
      <c r="CY31" s="134" t="s">
        <v>64</v>
      </c>
      <c r="CZ31" s="134" t="s">
        <v>65</v>
      </c>
      <c r="DB31" s="132" t="str">
        <f>Q1</f>
        <v>CDD8</v>
      </c>
      <c r="DC31" s="133" t="s">
        <v>55</v>
      </c>
      <c r="DD31" s="133" t="s">
        <v>56</v>
      </c>
      <c r="DE31" s="133" t="s">
        <v>57</v>
      </c>
      <c r="DF31" s="133" t="s">
        <v>58</v>
      </c>
      <c r="DG31" s="133" t="s">
        <v>46</v>
      </c>
      <c r="DH31" s="133" t="s">
        <v>47</v>
      </c>
      <c r="DI31" s="133" t="s">
        <v>48</v>
      </c>
      <c r="DJ31" s="134" t="s">
        <v>49</v>
      </c>
      <c r="DK31" s="134" t="s">
        <v>104</v>
      </c>
      <c r="DL31" s="134" t="s">
        <v>63</v>
      </c>
      <c r="DM31" s="134" t="s">
        <v>64</v>
      </c>
      <c r="DN31" s="134" t="s">
        <v>65</v>
      </c>
    </row>
    <row r="32" spans="1:118" x14ac:dyDescent="0.2">
      <c r="A32" s="127">
        <v>2003</v>
      </c>
      <c r="B32" s="130">
        <v>7</v>
      </c>
      <c r="C32" s="130">
        <v>22.664516129032261</v>
      </c>
      <c r="D32" s="131">
        <v>1.1000000000000014</v>
      </c>
      <c r="E32" s="131">
        <v>83.700000000000031</v>
      </c>
      <c r="F32" s="131">
        <v>0</v>
      </c>
      <c r="G32" s="131">
        <v>144.6</v>
      </c>
      <c r="H32" s="131">
        <v>0</v>
      </c>
      <c r="I32" s="131">
        <v>206.59999999999997</v>
      </c>
      <c r="J32" s="131">
        <v>0</v>
      </c>
      <c r="K32" s="131">
        <v>268.59999999999997</v>
      </c>
      <c r="L32" s="131">
        <v>0</v>
      </c>
      <c r="M32" s="131">
        <v>330.59999999999997</v>
      </c>
      <c r="N32" s="131">
        <v>0</v>
      </c>
      <c r="O32" s="131">
        <v>392.59999999999997</v>
      </c>
      <c r="P32" s="131">
        <v>0</v>
      </c>
      <c r="Q32" s="131">
        <v>454.59999999999997</v>
      </c>
      <c r="R32" s="131"/>
      <c r="S32" s="131"/>
      <c r="T32" s="131"/>
      <c r="V32" s="127">
        <v>2001</v>
      </c>
      <c r="W32" s="131">
        <f t="shared" ref="W32:W51" ca="1" si="30">OFFSET($E$2,(ROW()-32)*12+COLUMN()-23,0)</f>
        <v>0</v>
      </c>
      <c r="X32" s="131">
        <f t="shared" ref="X32:AH47" ca="1" si="31">OFFSET($E$2,(ROW()-32)*12+COLUMN()-23,0)</f>
        <v>0</v>
      </c>
      <c r="Y32" s="131">
        <f t="shared" ca="1" si="31"/>
        <v>0</v>
      </c>
      <c r="Z32" s="131">
        <f t="shared" ca="1" si="31"/>
        <v>0</v>
      </c>
      <c r="AA32" s="131">
        <f t="shared" ca="1" si="31"/>
        <v>5.8000000000000043</v>
      </c>
      <c r="AB32" s="131">
        <f t="shared" ca="1" si="31"/>
        <v>72.999999999999986</v>
      </c>
      <c r="AC32" s="131">
        <f t="shared" ca="1" si="31"/>
        <v>100.3</v>
      </c>
      <c r="AD32" s="131">
        <f t="shared" ca="1" si="31"/>
        <v>100.19999999999999</v>
      </c>
      <c r="AE32" s="131">
        <f t="shared" ca="1" si="31"/>
        <v>17.700000000000003</v>
      </c>
      <c r="AF32" s="131">
        <f t="shared" ca="1" si="31"/>
        <v>0.89999999999999858</v>
      </c>
      <c r="AG32" s="131">
        <f t="shared" ca="1" si="31"/>
        <v>0</v>
      </c>
      <c r="AH32" s="131">
        <f t="shared" ca="1" si="31"/>
        <v>0</v>
      </c>
      <c r="AJ32" s="127">
        <v>2001</v>
      </c>
      <c r="AK32" s="131">
        <f t="shared" ref="AK32:AV41" ca="1" si="32">OFFSET($G$2,(ROW()-32)*12+COLUMN()-37,0)</f>
        <v>0</v>
      </c>
      <c r="AL32" s="131">
        <f t="shared" ca="1" si="32"/>
        <v>0</v>
      </c>
      <c r="AM32" s="131">
        <f t="shared" ca="1" si="32"/>
        <v>0</v>
      </c>
      <c r="AN32" s="131">
        <f t="shared" ca="1" si="32"/>
        <v>0.39999999999999858</v>
      </c>
      <c r="AO32" s="131">
        <f t="shared" ca="1" si="32"/>
        <v>20.400000000000002</v>
      </c>
      <c r="AP32" s="131">
        <f t="shared" ca="1" si="32"/>
        <v>112.50000000000001</v>
      </c>
      <c r="AQ32" s="131">
        <f t="shared" ca="1" si="32"/>
        <v>156.10000000000005</v>
      </c>
      <c r="AR32" s="131">
        <f t="shared" ca="1" si="32"/>
        <v>162.19999999999999</v>
      </c>
      <c r="AS32" s="131">
        <f t="shared" ca="1" si="32"/>
        <v>36.200000000000003</v>
      </c>
      <c r="AT32" s="131">
        <f t="shared" ca="1" si="32"/>
        <v>2.8999999999999986</v>
      </c>
      <c r="AU32" s="131">
        <f t="shared" ca="1" si="32"/>
        <v>0</v>
      </c>
      <c r="AV32" s="131">
        <f t="shared" ca="1" si="32"/>
        <v>0</v>
      </c>
      <c r="AW32" s="147">
        <f t="shared" ca="1" si="8"/>
        <v>490.70000000000005</v>
      </c>
      <c r="AX32" s="127">
        <v>2001</v>
      </c>
      <c r="AY32" s="131">
        <f t="shared" ref="AY32:BJ41" ca="1" si="33">OFFSET($I$2,(ROW()-32)*12+COLUMN()-51,0)</f>
        <v>0</v>
      </c>
      <c r="AZ32" s="131">
        <f t="shared" ca="1" si="33"/>
        <v>0</v>
      </c>
      <c r="BA32" s="131">
        <f t="shared" ca="1" si="33"/>
        <v>0</v>
      </c>
      <c r="BB32" s="131">
        <f t="shared" ca="1" si="33"/>
        <v>6</v>
      </c>
      <c r="BC32" s="131">
        <f t="shared" ca="1" si="33"/>
        <v>45</v>
      </c>
      <c r="BD32" s="131">
        <f t="shared" ca="1" si="33"/>
        <v>159.30000000000004</v>
      </c>
      <c r="BE32" s="131">
        <f t="shared" ca="1" si="33"/>
        <v>216.10000000000002</v>
      </c>
      <c r="BF32" s="131">
        <f t="shared" ca="1" si="33"/>
        <v>224.2</v>
      </c>
      <c r="BG32" s="131">
        <f t="shared" ca="1" si="33"/>
        <v>65.599999999999994</v>
      </c>
      <c r="BH32" s="131">
        <f t="shared" ca="1" si="33"/>
        <v>9.3999999999999986</v>
      </c>
      <c r="BI32" s="131">
        <f t="shared" ca="1" si="33"/>
        <v>0</v>
      </c>
      <c r="BJ32" s="131">
        <f t="shared" ca="1" si="33"/>
        <v>0</v>
      </c>
      <c r="BL32" s="127">
        <v>2001</v>
      </c>
      <c r="BM32" s="131">
        <f t="shared" ref="BM32:BX41" ca="1" si="34">OFFSET($K$2,(ROW()-32)*12+COLUMN()-65,0)</f>
        <v>0</v>
      </c>
      <c r="BN32" s="131">
        <f t="shared" ca="1" si="34"/>
        <v>0</v>
      </c>
      <c r="BO32" s="131">
        <f t="shared" ca="1" si="34"/>
        <v>0</v>
      </c>
      <c r="BP32" s="131">
        <f t="shared" ca="1" si="34"/>
        <v>16.7</v>
      </c>
      <c r="BQ32" s="131">
        <f t="shared" ca="1" si="34"/>
        <v>79.800000000000011</v>
      </c>
      <c r="BR32" s="131">
        <f t="shared" ca="1" si="34"/>
        <v>209.00000000000003</v>
      </c>
      <c r="BS32" s="131">
        <f t="shared" ca="1" si="34"/>
        <v>276.89999999999998</v>
      </c>
      <c r="BT32" s="131">
        <f t="shared" ca="1" si="34"/>
        <v>286.20000000000005</v>
      </c>
      <c r="BU32" s="131">
        <f t="shared" ca="1" si="34"/>
        <v>105.39999999999998</v>
      </c>
      <c r="BV32" s="131">
        <f t="shared" ca="1" si="34"/>
        <v>26.799999999999997</v>
      </c>
      <c r="BW32" s="131">
        <f t="shared" ca="1" si="34"/>
        <v>0.59999999999999964</v>
      </c>
      <c r="BX32" s="131">
        <f t="shared" ca="1" si="34"/>
        <v>0.69999999999999929</v>
      </c>
      <c r="BZ32" s="127">
        <v>2001</v>
      </c>
      <c r="CA32" s="131">
        <f t="shared" ref="CA32:CL41" ca="1" si="35">OFFSET($M$2,(ROW()-32)*12+COLUMN()-79,0)</f>
        <v>0</v>
      </c>
      <c r="CB32" s="131">
        <f t="shared" ca="1" si="35"/>
        <v>0</v>
      </c>
      <c r="CC32" s="131">
        <f t="shared" ca="1" si="35"/>
        <v>0</v>
      </c>
      <c r="CD32" s="131">
        <f t="shared" ca="1" si="35"/>
        <v>31.8</v>
      </c>
      <c r="CE32" s="131">
        <f t="shared" ca="1" si="35"/>
        <v>126.40000000000005</v>
      </c>
      <c r="CF32" s="131">
        <f t="shared" ca="1" si="35"/>
        <v>267.60000000000002</v>
      </c>
      <c r="CG32" s="131">
        <f t="shared" ca="1" si="35"/>
        <v>338.9</v>
      </c>
      <c r="CH32" s="131">
        <f t="shared" ca="1" si="35"/>
        <v>348.20000000000005</v>
      </c>
      <c r="CI32" s="131">
        <f t="shared" ca="1" si="35"/>
        <v>155.99999999999997</v>
      </c>
      <c r="CJ32" s="131">
        <f t="shared" ca="1" si="35"/>
        <v>55.600000000000009</v>
      </c>
      <c r="CK32" s="131">
        <f t="shared" ca="1" si="35"/>
        <v>7.7999999999999989</v>
      </c>
      <c r="CL32" s="131">
        <f t="shared" ca="1" si="35"/>
        <v>2.6999999999999993</v>
      </c>
      <c r="CN32" s="127">
        <v>2001</v>
      </c>
      <c r="CO32" s="131">
        <f t="shared" ref="CO32:CZ41" ca="1" si="36">OFFSET($O$2,(ROW()-32)*12+COLUMN()-93,0)</f>
        <v>0</v>
      </c>
      <c r="CP32" s="131">
        <f t="shared" ca="1" si="36"/>
        <v>0</v>
      </c>
      <c r="CQ32" s="131">
        <f t="shared" ca="1" si="36"/>
        <v>0</v>
      </c>
      <c r="CR32" s="131">
        <f t="shared" ca="1" si="36"/>
        <v>53.400000000000006</v>
      </c>
      <c r="CS32" s="131">
        <f t="shared" ca="1" si="36"/>
        <v>185.50000000000003</v>
      </c>
      <c r="CT32" s="131">
        <f t="shared" ca="1" si="36"/>
        <v>327.59999999999991</v>
      </c>
      <c r="CU32" s="131">
        <f t="shared" ca="1" si="36"/>
        <v>400.9</v>
      </c>
      <c r="CV32" s="131">
        <f t="shared" ca="1" si="36"/>
        <v>410.2000000000001</v>
      </c>
      <c r="CW32" s="131">
        <f t="shared" ca="1" si="36"/>
        <v>211.29999999999998</v>
      </c>
      <c r="CX32" s="131">
        <f t="shared" ca="1" si="36"/>
        <v>91.5</v>
      </c>
      <c r="CY32" s="131">
        <f t="shared" ca="1" si="36"/>
        <v>21.5</v>
      </c>
      <c r="CZ32" s="131">
        <f t="shared" ca="1" si="36"/>
        <v>5.3999999999999986</v>
      </c>
      <c r="DB32" s="127">
        <v>2001</v>
      </c>
      <c r="DC32" s="131">
        <f t="shared" ref="DC32:DC51" ca="1" si="37">OFFSET($Q$2,(ROW()-32)*12+COLUMN()-107,0)</f>
        <v>0</v>
      </c>
      <c r="DD32" s="131">
        <f t="shared" ref="DD32:DN47" ca="1" si="38">OFFSET($Q$2,(ROW()-32)*12+COLUMN()-107,0)</f>
        <v>0</v>
      </c>
      <c r="DE32" s="131">
        <f t="shared" ca="1" si="38"/>
        <v>0</v>
      </c>
      <c r="DF32" s="131">
        <f t="shared" ca="1" si="38"/>
        <v>83.500000000000014</v>
      </c>
      <c r="DG32" s="131">
        <f t="shared" ca="1" si="38"/>
        <v>247.5</v>
      </c>
      <c r="DH32" s="131">
        <f t="shared" ca="1" si="38"/>
        <v>387.59999999999991</v>
      </c>
      <c r="DI32" s="131">
        <f t="shared" ca="1" si="38"/>
        <v>462.90000000000003</v>
      </c>
      <c r="DJ32" s="131">
        <f t="shared" ca="1" si="38"/>
        <v>472.2000000000001</v>
      </c>
      <c r="DK32" s="131">
        <f t="shared" ca="1" si="38"/>
        <v>267.39999999999998</v>
      </c>
      <c r="DL32" s="131">
        <f t="shared" ca="1" si="38"/>
        <v>131.6</v>
      </c>
      <c r="DM32" s="131">
        <f t="shared" ca="1" si="38"/>
        <v>50.2</v>
      </c>
      <c r="DN32" s="131">
        <f t="shared" ca="1" si="38"/>
        <v>13.399999999999999</v>
      </c>
    </row>
    <row r="33" spans="1:118" x14ac:dyDescent="0.2">
      <c r="A33" s="127">
        <v>2003</v>
      </c>
      <c r="B33" s="130">
        <v>8</v>
      </c>
      <c r="C33" s="130">
        <v>22.616129032258069</v>
      </c>
      <c r="D33" s="131">
        <v>4.0999999999999979</v>
      </c>
      <c r="E33" s="131">
        <v>85.200000000000017</v>
      </c>
      <c r="F33" s="131">
        <v>0</v>
      </c>
      <c r="G33" s="131">
        <v>143.1</v>
      </c>
      <c r="H33" s="131">
        <v>0</v>
      </c>
      <c r="I33" s="131">
        <v>205.1</v>
      </c>
      <c r="J33" s="131">
        <v>0</v>
      </c>
      <c r="K33" s="131">
        <v>267.10000000000002</v>
      </c>
      <c r="L33" s="131">
        <v>0</v>
      </c>
      <c r="M33" s="131">
        <v>329.1</v>
      </c>
      <c r="N33" s="131">
        <v>0</v>
      </c>
      <c r="O33" s="131">
        <v>391.10000000000008</v>
      </c>
      <c r="P33" s="131">
        <v>0</v>
      </c>
      <c r="Q33" s="131">
        <v>453.10000000000008</v>
      </c>
      <c r="R33" s="131"/>
      <c r="S33" s="131"/>
      <c r="T33" s="131"/>
      <c r="V33" s="127">
        <f>1+V32</f>
        <v>2002</v>
      </c>
      <c r="W33" s="131">
        <f t="shared" ca="1" si="30"/>
        <v>0</v>
      </c>
      <c r="X33" s="131">
        <f t="shared" ca="1" si="31"/>
        <v>0</v>
      </c>
      <c r="Y33" s="131">
        <f t="shared" ca="1" si="31"/>
        <v>0</v>
      </c>
      <c r="Z33" s="131">
        <f t="shared" ca="1" si="31"/>
        <v>7.1000000000000014</v>
      </c>
      <c r="AA33" s="131">
        <f t="shared" ca="1" si="31"/>
        <v>6.4000000000000021</v>
      </c>
      <c r="AB33" s="131">
        <f t="shared" ca="1" si="31"/>
        <v>81.600000000000023</v>
      </c>
      <c r="AC33" s="131">
        <f t="shared" ca="1" si="31"/>
        <v>139.90000000000003</v>
      </c>
      <c r="AD33" s="131">
        <f t="shared" ca="1" si="31"/>
        <v>92.3</v>
      </c>
      <c r="AE33" s="131">
        <f t="shared" ca="1" si="31"/>
        <v>59.3</v>
      </c>
      <c r="AF33" s="131">
        <f t="shared" ca="1" si="31"/>
        <v>6.6000000000000014</v>
      </c>
      <c r="AG33" s="131">
        <f t="shared" ca="1" si="31"/>
        <v>0</v>
      </c>
      <c r="AH33" s="131">
        <f t="shared" ca="1" si="31"/>
        <v>0</v>
      </c>
      <c r="AJ33" s="127">
        <f>1+AJ32</f>
        <v>2002</v>
      </c>
      <c r="AK33" s="131">
        <f t="shared" ca="1" si="32"/>
        <v>0</v>
      </c>
      <c r="AL33" s="131">
        <f t="shared" ca="1" si="32"/>
        <v>0</v>
      </c>
      <c r="AM33" s="131">
        <f t="shared" ca="1" si="32"/>
        <v>0</v>
      </c>
      <c r="AN33" s="131">
        <f t="shared" ca="1" si="32"/>
        <v>15.100000000000001</v>
      </c>
      <c r="AO33" s="131">
        <f t="shared" ca="1" si="32"/>
        <v>12.500000000000004</v>
      </c>
      <c r="AP33" s="131">
        <f t="shared" ca="1" si="32"/>
        <v>118.30000000000001</v>
      </c>
      <c r="AQ33" s="131">
        <f t="shared" ca="1" si="32"/>
        <v>201.10000000000002</v>
      </c>
      <c r="AR33" s="131">
        <f t="shared" ca="1" si="32"/>
        <v>149.20000000000002</v>
      </c>
      <c r="AS33" s="131">
        <f t="shared" ca="1" si="32"/>
        <v>97.90000000000002</v>
      </c>
      <c r="AT33" s="131">
        <f t="shared" ca="1" si="32"/>
        <v>12.600000000000001</v>
      </c>
      <c r="AU33" s="131">
        <f t="shared" ca="1" si="32"/>
        <v>0</v>
      </c>
      <c r="AV33" s="131">
        <f t="shared" ca="1" si="32"/>
        <v>0</v>
      </c>
      <c r="AW33" s="147">
        <f t="shared" ca="1" si="8"/>
        <v>606.70000000000005</v>
      </c>
      <c r="AX33" s="127">
        <f>1+AX32</f>
        <v>2002</v>
      </c>
      <c r="AY33" s="131">
        <f t="shared" ca="1" si="33"/>
        <v>0</v>
      </c>
      <c r="AZ33" s="131">
        <f t="shared" ca="1" si="33"/>
        <v>0</v>
      </c>
      <c r="BA33" s="131">
        <f t="shared" ca="1" si="33"/>
        <v>0</v>
      </c>
      <c r="BB33" s="131">
        <f t="shared" ca="1" si="33"/>
        <v>24.8</v>
      </c>
      <c r="BC33" s="131">
        <f t="shared" ca="1" si="33"/>
        <v>22.100000000000005</v>
      </c>
      <c r="BD33" s="131">
        <f t="shared" ca="1" si="33"/>
        <v>167.1</v>
      </c>
      <c r="BE33" s="131">
        <f t="shared" ca="1" si="33"/>
        <v>263.10000000000002</v>
      </c>
      <c r="BF33" s="131">
        <f t="shared" ca="1" si="33"/>
        <v>211.20000000000002</v>
      </c>
      <c r="BG33" s="131">
        <f t="shared" ca="1" si="33"/>
        <v>146.29999999999998</v>
      </c>
      <c r="BH33" s="131">
        <f t="shared" ca="1" si="33"/>
        <v>19</v>
      </c>
      <c r="BI33" s="131">
        <f t="shared" ca="1" si="33"/>
        <v>0</v>
      </c>
      <c r="BJ33" s="131">
        <f t="shared" ca="1" si="33"/>
        <v>0</v>
      </c>
      <c r="BL33" s="127">
        <f>1+BL32</f>
        <v>2002</v>
      </c>
      <c r="BM33" s="131">
        <f t="shared" ca="1" si="34"/>
        <v>0</v>
      </c>
      <c r="BN33" s="131">
        <f t="shared" ca="1" si="34"/>
        <v>0</v>
      </c>
      <c r="BO33" s="131">
        <f t="shared" ca="1" si="34"/>
        <v>0</v>
      </c>
      <c r="BP33" s="131">
        <f t="shared" ca="1" si="34"/>
        <v>36.799999999999997</v>
      </c>
      <c r="BQ33" s="131">
        <f t="shared" ca="1" si="34"/>
        <v>40.700000000000003</v>
      </c>
      <c r="BR33" s="131">
        <f t="shared" ca="1" si="34"/>
        <v>223.49999999999997</v>
      </c>
      <c r="BS33" s="131">
        <f t="shared" ca="1" si="34"/>
        <v>325.10000000000008</v>
      </c>
      <c r="BT33" s="131">
        <f t="shared" ca="1" si="34"/>
        <v>273.2</v>
      </c>
      <c r="BU33" s="131">
        <f t="shared" ca="1" si="34"/>
        <v>200.79999999999998</v>
      </c>
      <c r="BV33" s="131">
        <f t="shared" ca="1" si="34"/>
        <v>31.9</v>
      </c>
      <c r="BW33" s="131">
        <f t="shared" ca="1" si="34"/>
        <v>1</v>
      </c>
      <c r="BX33" s="131">
        <f t="shared" ca="1" si="34"/>
        <v>0</v>
      </c>
      <c r="BZ33" s="127">
        <f>1+BZ32</f>
        <v>2002</v>
      </c>
      <c r="CA33" s="131">
        <f t="shared" ca="1" si="35"/>
        <v>0</v>
      </c>
      <c r="CB33" s="131">
        <f t="shared" ca="1" si="35"/>
        <v>0</v>
      </c>
      <c r="CC33" s="131">
        <f t="shared" ca="1" si="35"/>
        <v>0</v>
      </c>
      <c r="CD33" s="131">
        <f t="shared" ca="1" si="35"/>
        <v>49.899999999999991</v>
      </c>
      <c r="CE33" s="131">
        <f t="shared" ca="1" si="35"/>
        <v>65.199999999999989</v>
      </c>
      <c r="CF33" s="131">
        <f t="shared" ca="1" si="35"/>
        <v>281.8</v>
      </c>
      <c r="CG33" s="131">
        <f t="shared" ca="1" si="35"/>
        <v>387.09999999999997</v>
      </c>
      <c r="CH33" s="131">
        <f t="shared" ca="1" si="35"/>
        <v>335.2</v>
      </c>
      <c r="CI33" s="131">
        <f t="shared" ca="1" si="35"/>
        <v>260.8</v>
      </c>
      <c r="CJ33" s="131">
        <f t="shared" ca="1" si="35"/>
        <v>50.70000000000001</v>
      </c>
      <c r="CK33" s="131">
        <f t="shared" ca="1" si="35"/>
        <v>3.5999999999999996</v>
      </c>
      <c r="CL33" s="131">
        <f t="shared" ca="1" si="35"/>
        <v>0</v>
      </c>
      <c r="CN33" s="127">
        <f>1+CN32</f>
        <v>2002</v>
      </c>
      <c r="CO33" s="131">
        <f t="shared" ca="1" si="36"/>
        <v>0</v>
      </c>
      <c r="CP33" s="131">
        <f t="shared" ca="1" si="36"/>
        <v>0</v>
      </c>
      <c r="CQ33" s="131">
        <f t="shared" ca="1" si="36"/>
        <v>0</v>
      </c>
      <c r="CR33" s="131">
        <f t="shared" ca="1" si="36"/>
        <v>69</v>
      </c>
      <c r="CS33" s="131">
        <f t="shared" ca="1" si="36"/>
        <v>99.399999999999977</v>
      </c>
      <c r="CT33" s="131">
        <f t="shared" ca="1" si="36"/>
        <v>341.79999999999995</v>
      </c>
      <c r="CU33" s="131">
        <f t="shared" ca="1" si="36"/>
        <v>449.09999999999997</v>
      </c>
      <c r="CV33" s="131">
        <f t="shared" ca="1" si="36"/>
        <v>397.20000000000005</v>
      </c>
      <c r="CW33" s="131">
        <f t="shared" ca="1" si="36"/>
        <v>320.8</v>
      </c>
      <c r="CX33" s="131">
        <f t="shared" ca="1" si="36"/>
        <v>71.5</v>
      </c>
      <c r="CY33" s="131">
        <f t="shared" ca="1" si="36"/>
        <v>9.1999999999999993</v>
      </c>
      <c r="CZ33" s="131">
        <f t="shared" ca="1" si="36"/>
        <v>0</v>
      </c>
      <c r="DB33" s="127">
        <f>1+DB32</f>
        <v>2002</v>
      </c>
      <c r="DC33" s="131">
        <f t="shared" ca="1" si="37"/>
        <v>0</v>
      </c>
      <c r="DD33" s="131">
        <f t="shared" ca="1" si="38"/>
        <v>9.9999999999999645E-2</v>
      </c>
      <c r="DE33" s="131">
        <f t="shared" ca="1" si="38"/>
        <v>2.5</v>
      </c>
      <c r="DF33" s="131">
        <f t="shared" ca="1" si="38"/>
        <v>96.399999999999991</v>
      </c>
      <c r="DG33" s="131">
        <f t="shared" ca="1" si="38"/>
        <v>145.1</v>
      </c>
      <c r="DH33" s="131">
        <f t="shared" ca="1" si="38"/>
        <v>401.8</v>
      </c>
      <c r="DI33" s="131">
        <f t="shared" ca="1" si="38"/>
        <v>511.09999999999997</v>
      </c>
      <c r="DJ33" s="131">
        <f t="shared" ca="1" si="38"/>
        <v>459.2000000000001</v>
      </c>
      <c r="DK33" s="131">
        <f t="shared" ca="1" si="38"/>
        <v>380.8</v>
      </c>
      <c r="DL33" s="131">
        <f t="shared" ca="1" si="38"/>
        <v>100.39999999999999</v>
      </c>
      <c r="DM33" s="131">
        <f t="shared" ca="1" si="38"/>
        <v>18</v>
      </c>
      <c r="DN33" s="131">
        <f t="shared" ca="1" si="38"/>
        <v>0</v>
      </c>
    </row>
    <row r="34" spans="1:118" x14ac:dyDescent="0.2">
      <c r="A34" s="127">
        <v>2003</v>
      </c>
      <c r="B34" s="130">
        <v>9</v>
      </c>
      <c r="C34" s="130">
        <v>17.576666666666661</v>
      </c>
      <c r="D34" s="131">
        <v>83.3</v>
      </c>
      <c r="E34" s="131">
        <v>10.600000000000001</v>
      </c>
      <c r="F34" s="131">
        <v>50.300000000000004</v>
      </c>
      <c r="G34" s="131">
        <v>37.599999999999994</v>
      </c>
      <c r="H34" s="131">
        <v>27.200000000000003</v>
      </c>
      <c r="I34" s="131">
        <v>74.5</v>
      </c>
      <c r="J34" s="131">
        <v>13.799999999999999</v>
      </c>
      <c r="K34" s="131">
        <v>121.1</v>
      </c>
      <c r="L34" s="131">
        <v>4.7999999999999989</v>
      </c>
      <c r="M34" s="131">
        <v>172.1</v>
      </c>
      <c r="N34" s="131">
        <v>0.59999999999999964</v>
      </c>
      <c r="O34" s="131">
        <v>227.90000000000003</v>
      </c>
      <c r="P34" s="131">
        <v>0</v>
      </c>
      <c r="Q34" s="131">
        <v>287.30000000000007</v>
      </c>
      <c r="R34" s="131"/>
      <c r="S34" s="131"/>
      <c r="T34" s="131"/>
      <c r="V34" s="127">
        <f t="shared" ref="V34:V51" si="39">1+V33</f>
        <v>2003</v>
      </c>
      <c r="W34" s="131">
        <f t="shared" ca="1" si="30"/>
        <v>0</v>
      </c>
      <c r="X34" s="131">
        <f t="shared" ca="1" si="31"/>
        <v>0</v>
      </c>
      <c r="Y34" s="131">
        <f t="shared" ca="1" si="31"/>
        <v>0</v>
      </c>
      <c r="Z34" s="131">
        <f t="shared" ca="1" si="31"/>
        <v>0.69999999999999929</v>
      </c>
      <c r="AA34" s="131">
        <f t="shared" ca="1" si="31"/>
        <v>0</v>
      </c>
      <c r="AB34" s="131">
        <f t="shared" ca="1" si="31"/>
        <v>31.200000000000003</v>
      </c>
      <c r="AC34" s="131">
        <f t="shared" ca="1" si="31"/>
        <v>83.700000000000031</v>
      </c>
      <c r="AD34" s="131">
        <f t="shared" ca="1" si="31"/>
        <v>85.200000000000017</v>
      </c>
      <c r="AE34" s="131">
        <f t="shared" ca="1" si="31"/>
        <v>10.600000000000001</v>
      </c>
      <c r="AF34" s="131">
        <f t="shared" ca="1" si="31"/>
        <v>0</v>
      </c>
      <c r="AG34" s="131">
        <f t="shared" ca="1" si="31"/>
        <v>0</v>
      </c>
      <c r="AH34" s="131">
        <f t="shared" ca="1" si="31"/>
        <v>0</v>
      </c>
      <c r="AJ34" s="127">
        <f t="shared" ref="AJ34:AJ51" si="40">1+AJ33</f>
        <v>2003</v>
      </c>
      <c r="AK34" s="131">
        <f t="shared" ca="1" si="32"/>
        <v>0</v>
      </c>
      <c r="AL34" s="131">
        <f t="shared" ca="1" si="32"/>
        <v>0</v>
      </c>
      <c r="AM34" s="131">
        <f t="shared" ca="1" si="32"/>
        <v>0</v>
      </c>
      <c r="AN34" s="131">
        <f t="shared" ca="1" si="32"/>
        <v>2.6999999999999993</v>
      </c>
      <c r="AO34" s="131">
        <f t="shared" ca="1" si="32"/>
        <v>0.19999999999999929</v>
      </c>
      <c r="AP34" s="131">
        <f t="shared" ca="1" si="32"/>
        <v>64.2</v>
      </c>
      <c r="AQ34" s="131">
        <f t="shared" ca="1" si="32"/>
        <v>144.6</v>
      </c>
      <c r="AR34" s="131">
        <f t="shared" ca="1" si="32"/>
        <v>143.1</v>
      </c>
      <c r="AS34" s="131">
        <f t="shared" ca="1" si="32"/>
        <v>37.599999999999994</v>
      </c>
      <c r="AT34" s="131">
        <f t="shared" ca="1" si="32"/>
        <v>1</v>
      </c>
      <c r="AU34" s="131">
        <f t="shared" ca="1" si="32"/>
        <v>0</v>
      </c>
      <c r="AV34" s="131">
        <f t="shared" ca="1" si="32"/>
        <v>0</v>
      </c>
      <c r="AW34" s="147">
        <f t="shared" ca="1" si="8"/>
        <v>393.4</v>
      </c>
      <c r="AX34" s="127">
        <f t="shared" ref="AX34:AX51" si="41">1+AX33</f>
        <v>2003</v>
      </c>
      <c r="AY34" s="131">
        <f t="shared" ca="1" si="33"/>
        <v>0</v>
      </c>
      <c r="AZ34" s="131">
        <f t="shared" ca="1" si="33"/>
        <v>0</v>
      </c>
      <c r="BA34" s="131">
        <f t="shared" ca="1" si="33"/>
        <v>0</v>
      </c>
      <c r="BB34" s="131">
        <f t="shared" ca="1" si="33"/>
        <v>7.5</v>
      </c>
      <c r="BC34" s="131">
        <f t="shared" ca="1" si="33"/>
        <v>5.0999999999999979</v>
      </c>
      <c r="BD34" s="131">
        <f t="shared" ca="1" si="33"/>
        <v>108.1</v>
      </c>
      <c r="BE34" s="131">
        <f t="shared" ca="1" si="33"/>
        <v>206.59999999999997</v>
      </c>
      <c r="BF34" s="131">
        <f t="shared" ca="1" si="33"/>
        <v>205.1</v>
      </c>
      <c r="BG34" s="131">
        <f t="shared" ca="1" si="33"/>
        <v>74.5</v>
      </c>
      <c r="BH34" s="131">
        <f t="shared" ca="1" si="33"/>
        <v>10.400000000000002</v>
      </c>
      <c r="BI34" s="131">
        <f t="shared" ca="1" si="33"/>
        <v>0</v>
      </c>
      <c r="BJ34" s="131">
        <f t="shared" ca="1" si="33"/>
        <v>0</v>
      </c>
      <c r="BL34" s="127">
        <f t="shared" ref="BL34:BL51" si="42">1+BL33</f>
        <v>2003</v>
      </c>
      <c r="BM34" s="131">
        <f t="shared" ca="1" si="34"/>
        <v>0</v>
      </c>
      <c r="BN34" s="131">
        <f t="shared" ca="1" si="34"/>
        <v>0</v>
      </c>
      <c r="BO34" s="131">
        <f t="shared" ca="1" si="34"/>
        <v>0</v>
      </c>
      <c r="BP34" s="131">
        <f t="shared" ca="1" si="34"/>
        <v>13.5</v>
      </c>
      <c r="BQ34" s="131">
        <f t="shared" ca="1" si="34"/>
        <v>22.799999999999997</v>
      </c>
      <c r="BR34" s="131">
        <f t="shared" ca="1" si="34"/>
        <v>158.1</v>
      </c>
      <c r="BS34" s="131">
        <f t="shared" ca="1" si="34"/>
        <v>268.59999999999997</v>
      </c>
      <c r="BT34" s="131">
        <f t="shared" ca="1" si="34"/>
        <v>267.10000000000002</v>
      </c>
      <c r="BU34" s="131">
        <f t="shared" ca="1" si="34"/>
        <v>121.1</v>
      </c>
      <c r="BV34" s="131">
        <f t="shared" ca="1" si="34"/>
        <v>21.8</v>
      </c>
      <c r="BW34" s="131">
        <f t="shared" ca="1" si="34"/>
        <v>2.7000000000000011</v>
      </c>
      <c r="BX34" s="131">
        <f t="shared" ca="1" si="34"/>
        <v>0</v>
      </c>
      <c r="BZ34" s="127">
        <f t="shared" ref="BZ34:BZ51" si="43">1+BZ33</f>
        <v>2003</v>
      </c>
      <c r="CA34" s="131">
        <f t="shared" ca="1" si="35"/>
        <v>0</v>
      </c>
      <c r="CB34" s="131">
        <f t="shared" ca="1" si="35"/>
        <v>0</v>
      </c>
      <c r="CC34" s="131">
        <f t="shared" ca="1" si="35"/>
        <v>1.4000000000000004</v>
      </c>
      <c r="CD34" s="131">
        <f t="shared" ca="1" si="35"/>
        <v>21.9</v>
      </c>
      <c r="CE34" s="131">
        <f t="shared" ca="1" si="35"/>
        <v>57.800000000000011</v>
      </c>
      <c r="CF34" s="131">
        <f t="shared" ca="1" si="35"/>
        <v>214.50000000000003</v>
      </c>
      <c r="CG34" s="131">
        <f t="shared" ca="1" si="35"/>
        <v>330.59999999999997</v>
      </c>
      <c r="CH34" s="131">
        <f t="shared" ca="1" si="35"/>
        <v>329.1</v>
      </c>
      <c r="CI34" s="131">
        <f t="shared" ca="1" si="35"/>
        <v>172.1</v>
      </c>
      <c r="CJ34" s="131">
        <f t="shared" ca="1" si="35"/>
        <v>38.100000000000009</v>
      </c>
      <c r="CK34" s="131">
        <f t="shared" ca="1" si="35"/>
        <v>7.9</v>
      </c>
      <c r="CL34" s="131">
        <f t="shared" ca="1" si="35"/>
        <v>0</v>
      </c>
      <c r="CN34" s="127">
        <f t="shared" ref="CN34:CN51" si="44">1+CN33</f>
        <v>2003</v>
      </c>
      <c r="CO34" s="131">
        <f t="shared" ca="1" si="36"/>
        <v>0</v>
      </c>
      <c r="CP34" s="131">
        <f t="shared" ca="1" si="36"/>
        <v>0</v>
      </c>
      <c r="CQ34" s="131">
        <f t="shared" ca="1" si="36"/>
        <v>5.1999999999999993</v>
      </c>
      <c r="CR34" s="131">
        <f t="shared" ca="1" si="36"/>
        <v>39.599999999999994</v>
      </c>
      <c r="CS34" s="131">
        <f t="shared" ca="1" si="36"/>
        <v>104.3</v>
      </c>
      <c r="CT34" s="131">
        <f t="shared" ca="1" si="36"/>
        <v>273.90000000000003</v>
      </c>
      <c r="CU34" s="131">
        <f t="shared" ca="1" si="36"/>
        <v>392.59999999999997</v>
      </c>
      <c r="CV34" s="131">
        <f t="shared" ca="1" si="36"/>
        <v>391.10000000000008</v>
      </c>
      <c r="CW34" s="131">
        <f t="shared" ca="1" si="36"/>
        <v>227.90000000000003</v>
      </c>
      <c r="CX34" s="131">
        <f t="shared" ca="1" si="36"/>
        <v>61.599999999999994</v>
      </c>
      <c r="CY34" s="131">
        <f t="shared" ca="1" si="36"/>
        <v>19.600000000000001</v>
      </c>
      <c r="CZ34" s="131">
        <f t="shared" ca="1" si="36"/>
        <v>0</v>
      </c>
      <c r="DB34" s="127">
        <f t="shared" ref="DB34:DB51" si="45">1+DB33</f>
        <v>2003</v>
      </c>
      <c r="DC34" s="131">
        <f t="shared" ca="1" si="37"/>
        <v>0</v>
      </c>
      <c r="DD34" s="131">
        <f t="shared" ca="1" si="38"/>
        <v>0</v>
      </c>
      <c r="DE34" s="131">
        <f t="shared" ca="1" si="38"/>
        <v>14.5</v>
      </c>
      <c r="DF34" s="131">
        <f t="shared" ca="1" si="38"/>
        <v>68.900000000000006</v>
      </c>
      <c r="DG34" s="131">
        <f t="shared" ca="1" si="38"/>
        <v>162.59999999999997</v>
      </c>
      <c r="DH34" s="131">
        <f t="shared" ca="1" si="38"/>
        <v>333.9</v>
      </c>
      <c r="DI34" s="131">
        <f t="shared" ca="1" si="38"/>
        <v>454.59999999999997</v>
      </c>
      <c r="DJ34" s="131">
        <f t="shared" ca="1" si="38"/>
        <v>453.10000000000008</v>
      </c>
      <c r="DK34" s="131">
        <f t="shared" ca="1" si="38"/>
        <v>287.30000000000007</v>
      </c>
      <c r="DL34" s="131">
        <f t="shared" ca="1" si="38"/>
        <v>97.5</v>
      </c>
      <c r="DM34" s="131">
        <f t="shared" ca="1" si="38"/>
        <v>39.800000000000004</v>
      </c>
      <c r="DN34" s="131">
        <f t="shared" ca="1" si="38"/>
        <v>0</v>
      </c>
    </row>
    <row r="35" spans="1:118" x14ac:dyDescent="0.2">
      <c r="A35" s="127">
        <v>2003</v>
      </c>
      <c r="B35" s="130">
        <v>10</v>
      </c>
      <c r="C35" s="130">
        <v>10.754838709677417</v>
      </c>
      <c r="D35" s="131">
        <v>286.60000000000002</v>
      </c>
      <c r="E35" s="131">
        <v>0</v>
      </c>
      <c r="F35" s="131">
        <v>225.6</v>
      </c>
      <c r="G35" s="131">
        <v>1</v>
      </c>
      <c r="H35" s="131">
        <v>173</v>
      </c>
      <c r="I35" s="131">
        <v>10.400000000000002</v>
      </c>
      <c r="J35" s="131">
        <v>122.39999999999999</v>
      </c>
      <c r="K35" s="131">
        <v>21.8</v>
      </c>
      <c r="L35" s="131">
        <v>76.699999999999974</v>
      </c>
      <c r="M35" s="131">
        <v>38.100000000000009</v>
      </c>
      <c r="N35" s="131">
        <v>38.200000000000003</v>
      </c>
      <c r="O35" s="131">
        <v>61.599999999999994</v>
      </c>
      <c r="P35" s="131">
        <v>12.1</v>
      </c>
      <c r="Q35" s="131">
        <v>97.5</v>
      </c>
      <c r="R35" s="131"/>
      <c r="S35" s="131"/>
      <c r="T35" s="131"/>
      <c r="V35" s="127">
        <f t="shared" si="39"/>
        <v>2004</v>
      </c>
      <c r="W35" s="131">
        <f t="shared" ca="1" si="30"/>
        <v>0</v>
      </c>
      <c r="X35" s="131">
        <f t="shared" ca="1" si="31"/>
        <v>0</v>
      </c>
      <c r="Y35" s="131">
        <f t="shared" ca="1" si="31"/>
        <v>0</v>
      </c>
      <c r="Z35" s="131">
        <f t="shared" ca="1" si="31"/>
        <v>0.19999999999999929</v>
      </c>
      <c r="AA35" s="131">
        <f t="shared" ca="1" si="31"/>
        <v>12.099999999999998</v>
      </c>
      <c r="AB35" s="131">
        <f t="shared" ca="1" si="31"/>
        <v>31.499999999999996</v>
      </c>
      <c r="AC35" s="131">
        <f t="shared" ca="1" si="31"/>
        <v>70.3</v>
      </c>
      <c r="AD35" s="131">
        <f t="shared" ca="1" si="31"/>
        <v>40.700000000000003</v>
      </c>
      <c r="AE35" s="131">
        <f t="shared" ca="1" si="31"/>
        <v>27</v>
      </c>
      <c r="AF35" s="131">
        <f t="shared" ca="1" si="31"/>
        <v>0</v>
      </c>
      <c r="AG35" s="131">
        <f t="shared" ca="1" si="31"/>
        <v>0</v>
      </c>
      <c r="AH35" s="131">
        <f t="shared" ca="1" si="31"/>
        <v>0</v>
      </c>
      <c r="AJ35" s="127">
        <f t="shared" si="40"/>
        <v>2004</v>
      </c>
      <c r="AK35" s="131">
        <f t="shared" ca="1" si="32"/>
        <v>0</v>
      </c>
      <c r="AL35" s="131">
        <f t="shared" ca="1" si="32"/>
        <v>0</v>
      </c>
      <c r="AM35" s="131">
        <f t="shared" ca="1" si="32"/>
        <v>0</v>
      </c>
      <c r="AN35" s="131">
        <f t="shared" ca="1" si="32"/>
        <v>4.3999999999999986</v>
      </c>
      <c r="AO35" s="131">
        <f t="shared" ca="1" si="32"/>
        <v>28.099999999999998</v>
      </c>
      <c r="AP35" s="131">
        <f t="shared" ca="1" si="32"/>
        <v>61.999999999999993</v>
      </c>
      <c r="AQ35" s="131">
        <f t="shared" ca="1" si="32"/>
        <v>122.39999999999999</v>
      </c>
      <c r="AR35" s="131">
        <f t="shared" ca="1" si="32"/>
        <v>74.199999999999974</v>
      </c>
      <c r="AS35" s="131">
        <f t="shared" ca="1" si="32"/>
        <v>59.699999999999989</v>
      </c>
      <c r="AT35" s="131">
        <f t="shared" ca="1" si="32"/>
        <v>0.5</v>
      </c>
      <c r="AU35" s="131">
        <f t="shared" ca="1" si="32"/>
        <v>0</v>
      </c>
      <c r="AV35" s="131">
        <f t="shared" ca="1" si="32"/>
        <v>0</v>
      </c>
      <c r="AW35" s="147">
        <f t="shared" ca="1" si="8"/>
        <v>351.29999999999995</v>
      </c>
      <c r="AX35" s="127">
        <f t="shared" si="41"/>
        <v>2004</v>
      </c>
      <c r="AY35" s="131">
        <f t="shared" ca="1" si="33"/>
        <v>0</v>
      </c>
      <c r="AZ35" s="131">
        <f t="shared" ca="1" si="33"/>
        <v>0</v>
      </c>
      <c r="BA35" s="131">
        <f t="shared" ca="1" si="33"/>
        <v>0</v>
      </c>
      <c r="BB35" s="131">
        <f t="shared" ca="1" si="33"/>
        <v>12.399999999999999</v>
      </c>
      <c r="BC35" s="131">
        <f t="shared" ca="1" si="33"/>
        <v>53.599999999999994</v>
      </c>
      <c r="BD35" s="131">
        <f t="shared" ca="1" si="33"/>
        <v>104.30000000000001</v>
      </c>
      <c r="BE35" s="131">
        <f t="shared" ca="1" si="33"/>
        <v>182.20000000000002</v>
      </c>
      <c r="BF35" s="131">
        <f t="shared" ca="1" si="33"/>
        <v>130.1</v>
      </c>
      <c r="BG35" s="131">
        <f t="shared" ca="1" si="33"/>
        <v>102.7</v>
      </c>
      <c r="BH35" s="131">
        <f t="shared" ca="1" si="33"/>
        <v>5.1999999999999993</v>
      </c>
      <c r="BI35" s="131">
        <f t="shared" ca="1" si="33"/>
        <v>0</v>
      </c>
      <c r="BJ35" s="131">
        <f t="shared" ca="1" si="33"/>
        <v>0</v>
      </c>
      <c r="BL35" s="127">
        <f t="shared" si="42"/>
        <v>2004</v>
      </c>
      <c r="BM35" s="131">
        <f t="shared" ca="1" si="34"/>
        <v>0</v>
      </c>
      <c r="BN35" s="131">
        <f t="shared" ca="1" si="34"/>
        <v>0</v>
      </c>
      <c r="BO35" s="131">
        <f t="shared" ca="1" si="34"/>
        <v>0</v>
      </c>
      <c r="BP35" s="131">
        <f t="shared" ca="1" si="34"/>
        <v>25.799999999999997</v>
      </c>
      <c r="BQ35" s="131">
        <f t="shared" ca="1" si="34"/>
        <v>89.799999999999983</v>
      </c>
      <c r="BR35" s="131">
        <f t="shared" ca="1" si="34"/>
        <v>160.60000000000005</v>
      </c>
      <c r="BS35" s="131">
        <f t="shared" ca="1" si="34"/>
        <v>244.20000000000002</v>
      </c>
      <c r="BT35" s="131">
        <f t="shared" ca="1" si="34"/>
        <v>192.10000000000002</v>
      </c>
      <c r="BU35" s="131">
        <f t="shared" ca="1" si="34"/>
        <v>157.30000000000004</v>
      </c>
      <c r="BV35" s="131">
        <f t="shared" ca="1" si="34"/>
        <v>15.5</v>
      </c>
      <c r="BW35" s="131">
        <f t="shared" ca="1" si="34"/>
        <v>0</v>
      </c>
      <c r="BX35" s="131">
        <f t="shared" ca="1" si="34"/>
        <v>0</v>
      </c>
      <c r="BZ35" s="127">
        <f t="shared" si="43"/>
        <v>2004</v>
      </c>
      <c r="CA35" s="131">
        <f t="shared" ca="1" si="35"/>
        <v>0</v>
      </c>
      <c r="CB35" s="131">
        <f t="shared" ca="1" si="35"/>
        <v>0</v>
      </c>
      <c r="CC35" s="131">
        <f t="shared" ca="1" si="35"/>
        <v>3.5999999999999996</v>
      </c>
      <c r="CD35" s="131">
        <f t="shared" ca="1" si="35"/>
        <v>42.3</v>
      </c>
      <c r="CE35" s="131">
        <f t="shared" ca="1" si="35"/>
        <v>132.89999999999998</v>
      </c>
      <c r="CF35" s="131">
        <f t="shared" ca="1" si="35"/>
        <v>220.60000000000008</v>
      </c>
      <c r="CG35" s="131">
        <f t="shared" ca="1" si="35"/>
        <v>306.2</v>
      </c>
      <c r="CH35" s="131">
        <f t="shared" ca="1" si="35"/>
        <v>254.10000000000002</v>
      </c>
      <c r="CI35" s="131">
        <f t="shared" ca="1" si="35"/>
        <v>216.70000000000002</v>
      </c>
      <c r="CJ35" s="131">
        <f t="shared" ca="1" si="35"/>
        <v>35.4</v>
      </c>
      <c r="CK35" s="131">
        <f t="shared" ca="1" si="35"/>
        <v>1.6999999999999993</v>
      </c>
      <c r="CL35" s="131">
        <f t="shared" ca="1" si="35"/>
        <v>0</v>
      </c>
      <c r="CN35" s="127">
        <f t="shared" si="44"/>
        <v>2004</v>
      </c>
      <c r="CO35" s="131">
        <f t="shared" ca="1" si="36"/>
        <v>0</v>
      </c>
      <c r="CP35" s="131">
        <f t="shared" ca="1" si="36"/>
        <v>0</v>
      </c>
      <c r="CQ35" s="131">
        <f t="shared" ca="1" si="36"/>
        <v>9.8999999999999986</v>
      </c>
      <c r="CR35" s="131">
        <f t="shared" ca="1" si="36"/>
        <v>62</v>
      </c>
      <c r="CS35" s="131">
        <f t="shared" ca="1" si="36"/>
        <v>185.6</v>
      </c>
      <c r="CT35" s="131">
        <f t="shared" ca="1" si="36"/>
        <v>280.60000000000002</v>
      </c>
      <c r="CU35" s="131">
        <f t="shared" ca="1" si="36"/>
        <v>368.20000000000005</v>
      </c>
      <c r="CV35" s="131">
        <f t="shared" ca="1" si="36"/>
        <v>316.09999999999997</v>
      </c>
      <c r="CW35" s="131">
        <f t="shared" ca="1" si="36"/>
        <v>276.7</v>
      </c>
      <c r="CX35" s="131">
        <f t="shared" ca="1" si="36"/>
        <v>71.800000000000011</v>
      </c>
      <c r="CY35" s="131">
        <f t="shared" ca="1" si="36"/>
        <v>6.0999999999999979</v>
      </c>
      <c r="CZ35" s="131">
        <f t="shared" ca="1" si="36"/>
        <v>0.59999999999999964</v>
      </c>
      <c r="DB35" s="127">
        <f t="shared" si="45"/>
        <v>2004</v>
      </c>
      <c r="DC35" s="131">
        <f t="shared" ca="1" si="37"/>
        <v>0.5</v>
      </c>
      <c r="DD35" s="131">
        <f t="shared" ca="1" si="38"/>
        <v>0</v>
      </c>
      <c r="DE35" s="131">
        <f t="shared" ca="1" si="38"/>
        <v>22.5</v>
      </c>
      <c r="DF35" s="131">
        <f t="shared" ca="1" si="38"/>
        <v>87.300000000000011</v>
      </c>
      <c r="DG35" s="131">
        <f t="shared" ca="1" si="38"/>
        <v>241.7</v>
      </c>
      <c r="DH35" s="131">
        <f t="shared" ca="1" si="38"/>
        <v>340.6</v>
      </c>
      <c r="DI35" s="131">
        <f t="shared" ca="1" si="38"/>
        <v>430.2</v>
      </c>
      <c r="DJ35" s="131">
        <f t="shared" ca="1" si="38"/>
        <v>378.09999999999991</v>
      </c>
      <c r="DK35" s="131">
        <f t="shared" ca="1" si="38"/>
        <v>336.70000000000005</v>
      </c>
      <c r="DL35" s="131">
        <f t="shared" ca="1" si="38"/>
        <v>124.30000000000004</v>
      </c>
      <c r="DM35" s="131">
        <f t="shared" ca="1" si="38"/>
        <v>18.2</v>
      </c>
      <c r="DN35" s="131">
        <f t="shared" ca="1" si="38"/>
        <v>4.5</v>
      </c>
    </row>
    <row r="36" spans="1:118" x14ac:dyDescent="0.2">
      <c r="A36" s="127">
        <v>2003</v>
      </c>
      <c r="B36" s="130">
        <v>11</v>
      </c>
      <c r="C36" s="130">
        <v>6.706666666666667</v>
      </c>
      <c r="D36" s="131">
        <v>398.8</v>
      </c>
      <c r="E36" s="131">
        <v>0</v>
      </c>
      <c r="F36" s="131">
        <v>338.8</v>
      </c>
      <c r="G36" s="131">
        <v>0</v>
      </c>
      <c r="H36" s="131">
        <v>278.8</v>
      </c>
      <c r="I36" s="131">
        <v>0</v>
      </c>
      <c r="J36" s="131">
        <v>221.5</v>
      </c>
      <c r="K36" s="131">
        <v>2.7000000000000011</v>
      </c>
      <c r="L36" s="131">
        <v>166.70000000000002</v>
      </c>
      <c r="M36" s="131">
        <v>7.9</v>
      </c>
      <c r="N36" s="131">
        <v>118.39999999999999</v>
      </c>
      <c r="O36" s="131">
        <v>19.600000000000001</v>
      </c>
      <c r="P36" s="131">
        <v>78.599999999999994</v>
      </c>
      <c r="Q36" s="131">
        <v>39.800000000000004</v>
      </c>
      <c r="R36" s="131"/>
      <c r="S36" s="131"/>
      <c r="T36" s="131"/>
      <c r="V36" s="127">
        <f t="shared" si="39"/>
        <v>2005</v>
      </c>
      <c r="W36" s="131">
        <f t="shared" ca="1" si="30"/>
        <v>0</v>
      </c>
      <c r="X36" s="131">
        <f t="shared" ca="1" si="31"/>
        <v>0</v>
      </c>
      <c r="Y36" s="131">
        <f t="shared" ca="1" si="31"/>
        <v>0</v>
      </c>
      <c r="Z36" s="131">
        <f t="shared" ca="1" si="31"/>
        <v>0</v>
      </c>
      <c r="AA36" s="131">
        <f t="shared" ca="1" si="31"/>
        <v>2.1999999999999993</v>
      </c>
      <c r="AB36" s="131">
        <f t="shared" ca="1" si="31"/>
        <v>117.1</v>
      </c>
      <c r="AC36" s="131">
        <f t="shared" ca="1" si="31"/>
        <v>133.90000000000003</v>
      </c>
      <c r="AD36" s="131">
        <f t="shared" ca="1" si="31"/>
        <v>126.79999999999998</v>
      </c>
      <c r="AE36" s="131">
        <f t="shared" ca="1" si="31"/>
        <v>39.4</v>
      </c>
      <c r="AF36" s="131">
        <f t="shared" ca="1" si="31"/>
        <v>9.1999999999999993</v>
      </c>
      <c r="AG36" s="131">
        <f t="shared" ca="1" si="31"/>
        <v>0</v>
      </c>
      <c r="AH36" s="131">
        <f t="shared" ca="1" si="31"/>
        <v>0</v>
      </c>
      <c r="AJ36" s="127">
        <f t="shared" si="40"/>
        <v>2005</v>
      </c>
      <c r="AK36" s="131">
        <f t="shared" ca="1" si="32"/>
        <v>0</v>
      </c>
      <c r="AL36" s="131">
        <f t="shared" ca="1" si="32"/>
        <v>0</v>
      </c>
      <c r="AM36" s="131">
        <f t="shared" ca="1" si="32"/>
        <v>0</v>
      </c>
      <c r="AN36" s="131">
        <f t="shared" ca="1" si="32"/>
        <v>1.3999999999999986</v>
      </c>
      <c r="AO36" s="131">
        <f t="shared" ca="1" si="32"/>
        <v>5.6999999999999993</v>
      </c>
      <c r="AP36" s="131">
        <f t="shared" ca="1" si="32"/>
        <v>166.9</v>
      </c>
      <c r="AQ36" s="131">
        <f t="shared" ca="1" si="32"/>
        <v>194.7</v>
      </c>
      <c r="AR36" s="131">
        <f t="shared" ca="1" si="32"/>
        <v>185.49999999999994</v>
      </c>
      <c r="AS36" s="131">
        <f t="shared" ca="1" si="32"/>
        <v>82.199999999999989</v>
      </c>
      <c r="AT36" s="131">
        <f t="shared" ca="1" si="32"/>
        <v>19</v>
      </c>
      <c r="AU36" s="131">
        <f t="shared" ca="1" si="32"/>
        <v>0</v>
      </c>
      <c r="AV36" s="131">
        <f t="shared" ca="1" si="32"/>
        <v>0</v>
      </c>
      <c r="AW36" s="147">
        <f t="shared" ca="1" si="8"/>
        <v>655.39999999999986</v>
      </c>
      <c r="AX36" s="127">
        <f t="shared" si="41"/>
        <v>2005</v>
      </c>
      <c r="AY36" s="131">
        <f t="shared" ca="1" si="33"/>
        <v>0</v>
      </c>
      <c r="AZ36" s="131">
        <f t="shared" ca="1" si="33"/>
        <v>0</v>
      </c>
      <c r="BA36" s="131">
        <f t="shared" ca="1" si="33"/>
        <v>0</v>
      </c>
      <c r="BB36" s="131">
        <f t="shared" ca="1" si="33"/>
        <v>4.5</v>
      </c>
      <c r="BC36" s="131">
        <f t="shared" ca="1" si="33"/>
        <v>17.700000000000003</v>
      </c>
      <c r="BD36" s="131">
        <f t="shared" ca="1" si="33"/>
        <v>222.50000000000003</v>
      </c>
      <c r="BE36" s="131">
        <f t="shared" ca="1" si="33"/>
        <v>256.7</v>
      </c>
      <c r="BF36" s="131">
        <f t="shared" ca="1" si="33"/>
        <v>247.39999999999998</v>
      </c>
      <c r="BG36" s="131">
        <f t="shared" ca="1" si="33"/>
        <v>134.49999999999997</v>
      </c>
      <c r="BH36" s="131">
        <f t="shared" ca="1" si="33"/>
        <v>32.200000000000003</v>
      </c>
      <c r="BI36" s="131">
        <f t="shared" ca="1" si="33"/>
        <v>0.60000000000000142</v>
      </c>
      <c r="BJ36" s="131">
        <f t="shared" ca="1" si="33"/>
        <v>0</v>
      </c>
      <c r="BL36" s="127">
        <f t="shared" si="42"/>
        <v>2005</v>
      </c>
      <c r="BM36" s="131">
        <f t="shared" ca="1" si="34"/>
        <v>0</v>
      </c>
      <c r="BN36" s="131">
        <f t="shared" ca="1" si="34"/>
        <v>0</v>
      </c>
      <c r="BO36" s="131">
        <f t="shared" ca="1" si="34"/>
        <v>0</v>
      </c>
      <c r="BP36" s="131">
        <f t="shared" ca="1" si="34"/>
        <v>11</v>
      </c>
      <c r="BQ36" s="131">
        <f t="shared" ca="1" si="34"/>
        <v>41.4</v>
      </c>
      <c r="BR36" s="131">
        <f t="shared" ca="1" si="34"/>
        <v>282.50000000000006</v>
      </c>
      <c r="BS36" s="131">
        <f t="shared" ca="1" si="34"/>
        <v>318.7</v>
      </c>
      <c r="BT36" s="131">
        <f t="shared" ca="1" si="34"/>
        <v>309.40000000000003</v>
      </c>
      <c r="BU36" s="131">
        <f t="shared" ca="1" si="34"/>
        <v>190.5</v>
      </c>
      <c r="BV36" s="131">
        <f t="shared" ca="1" si="34"/>
        <v>49.999999999999993</v>
      </c>
      <c r="BW36" s="131">
        <f t="shared" ca="1" si="34"/>
        <v>5.0000000000000018</v>
      </c>
      <c r="BX36" s="131">
        <f t="shared" ca="1" si="34"/>
        <v>0</v>
      </c>
      <c r="BZ36" s="127">
        <f t="shared" si="43"/>
        <v>2005</v>
      </c>
      <c r="CA36" s="131">
        <f t="shared" ca="1" si="35"/>
        <v>0</v>
      </c>
      <c r="CB36" s="131">
        <f t="shared" ca="1" si="35"/>
        <v>0</v>
      </c>
      <c r="CC36" s="131">
        <f t="shared" ca="1" si="35"/>
        <v>0</v>
      </c>
      <c r="CD36" s="131">
        <f t="shared" ca="1" si="35"/>
        <v>22.9</v>
      </c>
      <c r="CE36" s="131">
        <f t="shared" ca="1" si="35"/>
        <v>78</v>
      </c>
      <c r="CF36" s="131">
        <f t="shared" ca="1" si="35"/>
        <v>342.5</v>
      </c>
      <c r="CG36" s="131">
        <f t="shared" ca="1" si="35"/>
        <v>380.7</v>
      </c>
      <c r="CH36" s="131">
        <f t="shared" ca="1" si="35"/>
        <v>371.40000000000003</v>
      </c>
      <c r="CI36" s="131">
        <f t="shared" ca="1" si="35"/>
        <v>246.90000000000003</v>
      </c>
      <c r="CJ36" s="131">
        <f t="shared" ca="1" si="35"/>
        <v>75.7</v>
      </c>
      <c r="CK36" s="131">
        <f t="shared" ca="1" si="35"/>
        <v>16.600000000000001</v>
      </c>
      <c r="CL36" s="131">
        <f t="shared" ca="1" si="35"/>
        <v>0</v>
      </c>
      <c r="CN36" s="127">
        <f t="shared" si="44"/>
        <v>2005</v>
      </c>
      <c r="CO36" s="131">
        <f t="shared" ca="1" si="36"/>
        <v>0</v>
      </c>
      <c r="CP36" s="131">
        <f t="shared" ca="1" si="36"/>
        <v>0</v>
      </c>
      <c r="CQ36" s="131">
        <f t="shared" ca="1" si="36"/>
        <v>2.7000000000000011</v>
      </c>
      <c r="CR36" s="131">
        <f t="shared" ca="1" si="36"/>
        <v>39.6</v>
      </c>
      <c r="CS36" s="131">
        <f t="shared" ca="1" si="36"/>
        <v>125</v>
      </c>
      <c r="CT36" s="131">
        <f t="shared" ca="1" si="36"/>
        <v>402.50000000000006</v>
      </c>
      <c r="CU36" s="131">
        <f t="shared" ca="1" si="36"/>
        <v>442.69999999999993</v>
      </c>
      <c r="CV36" s="131">
        <f t="shared" ca="1" si="36"/>
        <v>433.40000000000003</v>
      </c>
      <c r="CW36" s="131">
        <f t="shared" ca="1" si="36"/>
        <v>306.90000000000009</v>
      </c>
      <c r="CX36" s="131">
        <f t="shared" ca="1" si="36"/>
        <v>110.1</v>
      </c>
      <c r="CY36" s="131">
        <f t="shared" ca="1" si="36"/>
        <v>34.799999999999997</v>
      </c>
      <c r="CZ36" s="131">
        <f t="shared" ca="1" si="36"/>
        <v>0</v>
      </c>
      <c r="DB36" s="127">
        <f t="shared" si="45"/>
        <v>2005</v>
      </c>
      <c r="DC36" s="131">
        <f t="shared" ca="1" si="37"/>
        <v>0</v>
      </c>
      <c r="DD36" s="131">
        <f t="shared" ca="1" si="38"/>
        <v>0</v>
      </c>
      <c r="DE36" s="131">
        <f t="shared" ca="1" si="38"/>
        <v>6.7000000000000011</v>
      </c>
      <c r="DF36" s="131">
        <f t="shared" ca="1" si="38"/>
        <v>75.400000000000006</v>
      </c>
      <c r="DG36" s="131">
        <f t="shared" ca="1" si="38"/>
        <v>177</v>
      </c>
      <c r="DH36" s="131">
        <f t="shared" ca="1" si="38"/>
        <v>462.5</v>
      </c>
      <c r="DI36" s="131">
        <f t="shared" ca="1" si="38"/>
        <v>504.69999999999993</v>
      </c>
      <c r="DJ36" s="131">
        <f t="shared" ca="1" si="38"/>
        <v>495.4</v>
      </c>
      <c r="DK36" s="131">
        <f t="shared" ca="1" si="38"/>
        <v>366.90000000000009</v>
      </c>
      <c r="DL36" s="131">
        <f t="shared" ca="1" si="38"/>
        <v>153.99999999999997</v>
      </c>
      <c r="DM36" s="131">
        <f t="shared" ca="1" si="38"/>
        <v>57.5</v>
      </c>
      <c r="DN36" s="131">
        <f t="shared" ca="1" si="38"/>
        <v>0</v>
      </c>
    </row>
    <row r="37" spans="1:118" x14ac:dyDescent="0.2">
      <c r="A37" s="127">
        <v>2003</v>
      </c>
      <c r="B37" s="130">
        <v>12</v>
      </c>
      <c r="C37" s="130">
        <v>0.52258064516129032</v>
      </c>
      <c r="D37" s="131">
        <v>603.79999999999995</v>
      </c>
      <c r="E37" s="131">
        <v>0</v>
      </c>
      <c r="F37" s="131">
        <v>541.80000000000007</v>
      </c>
      <c r="G37" s="131">
        <v>0</v>
      </c>
      <c r="H37" s="131">
        <v>479.8</v>
      </c>
      <c r="I37" s="131">
        <v>0</v>
      </c>
      <c r="J37" s="131">
        <v>417.79999999999995</v>
      </c>
      <c r="K37" s="131">
        <v>0</v>
      </c>
      <c r="L37" s="131">
        <v>355.79999999999995</v>
      </c>
      <c r="M37" s="131">
        <v>0</v>
      </c>
      <c r="N37" s="131">
        <v>293.79999999999995</v>
      </c>
      <c r="O37" s="131">
        <v>0</v>
      </c>
      <c r="P37" s="131">
        <v>231.8</v>
      </c>
      <c r="Q37" s="131">
        <v>0</v>
      </c>
      <c r="R37" s="131"/>
      <c r="S37" s="131"/>
      <c r="T37" s="131"/>
      <c r="V37" s="127">
        <f t="shared" si="39"/>
        <v>2006</v>
      </c>
      <c r="W37" s="131">
        <f t="shared" ca="1" si="30"/>
        <v>0</v>
      </c>
      <c r="X37" s="131">
        <f t="shared" ca="1" si="31"/>
        <v>0</v>
      </c>
      <c r="Y37" s="131">
        <f t="shared" ca="1" si="31"/>
        <v>0</v>
      </c>
      <c r="Z37" s="131">
        <f t="shared" ca="1" si="31"/>
        <v>0</v>
      </c>
      <c r="AA37" s="131">
        <f t="shared" ca="1" si="31"/>
        <v>26.1</v>
      </c>
      <c r="AB37" s="131">
        <f t="shared" ca="1" si="31"/>
        <v>41.800000000000004</v>
      </c>
      <c r="AC37" s="131">
        <f t="shared" ca="1" si="31"/>
        <v>137.5</v>
      </c>
      <c r="AD37" s="131">
        <f t="shared" ca="1" si="31"/>
        <v>86.6</v>
      </c>
      <c r="AE37" s="131">
        <f t="shared" ca="1" si="31"/>
        <v>4.3999999999999986</v>
      </c>
      <c r="AF37" s="131">
        <f t="shared" ca="1" si="31"/>
        <v>0.30000000000000071</v>
      </c>
      <c r="AG37" s="131">
        <f t="shared" ca="1" si="31"/>
        <v>0</v>
      </c>
      <c r="AH37" s="131">
        <f t="shared" ca="1" si="31"/>
        <v>0</v>
      </c>
      <c r="AJ37" s="127">
        <f t="shared" si="40"/>
        <v>2006</v>
      </c>
      <c r="AK37" s="131">
        <f t="shared" ca="1" si="32"/>
        <v>0</v>
      </c>
      <c r="AL37" s="131">
        <f t="shared" ca="1" si="32"/>
        <v>0</v>
      </c>
      <c r="AM37" s="131">
        <f t="shared" ca="1" si="32"/>
        <v>0</v>
      </c>
      <c r="AN37" s="131">
        <f t="shared" ca="1" si="32"/>
        <v>1.1000000000000014</v>
      </c>
      <c r="AO37" s="131">
        <f t="shared" ca="1" si="32"/>
        <v>40.600000000000009</v>
      </c>
      <c r="AP37" s="131">
        <f t="shared" ca="1" si="32"/>
        <v>85.700000000000017</v>
      </c>
      <c r="AQ37" s="131">
        <f t="shared" ca="1" si="32"/>
        <v>197.4</v>
      </c>
      <c r="AR37" s="131">
        <f t="shared" ca="1" si="32"/>
        <v>147.39999999999998</v>
      </c>
      <c r="AS37" s="131">
        <f t="shared" ca="1" si="32"/>
        <v>22.299999999999997</v>
      </c>
      <c r="AT37" s="131">
        <f t="shared" ca="1" si="32"/>
        <v>2.3000000000000007</v>
      </c>
      <c r="AU37" s="131">
        <f t="shared" ca="1" si="32"/>
        <v>0</v>
      </c>
      <c r="AV37" s="131">
        <f t="shared" ca="1" si="32"/>
        <v>0</v>
      </c>
      <c r="AW37" s="147">
        <f t="shared" ca="1" si="8"/>
        <v>496.80000000000007</v>
      </c>
      <c r="AX37" s="127">
        <f t="shared" si="41"/>
        <v>2006</v>
      </c>
      <c r="AY37" s="131">
        <f t="shared" ca="1" si="33"/>
        <v>0</v>
      </c>
      <c r="AZ37" s="131">
        <f t="shared" ca="1" si="33"/>
        <v>0</v>
      </c>
      <c r="BA37" s="131">
        <f t="shared" ca="1" si="33"/>
        <v>0</v>
      </c>
      <c r="BB37" s="131">
        <f t="shared" ca="1" si="33"/>
        <v>7.4000000000000021</v>
      </c>
      <c r="BC37" s="131">
        <f t="shared" ca="1" si="33"/>
        <v>61.8</v>
      </c>
      <c r="BD37" s="131">
        <f t="shared" ca="1" si="33"/>
        <v>138.89999999999998</v>
      </c>
      <c r="BE37" s="131">
        <f t="shared" ca="1" si="33"/>
        <v>259.40000000000003</v>
      </c>
      <c r="BF37" s="131">
        <f t="shared" ca="1" si="33"/>
        <v>209.39999999999998</v>
      </c>
      <c r="BG37" s="131">
        <f t="shared" ca="1" si="33"/>
        <v>58</v>
      </c>
      <c r="BH37" s="131">
        <f t="shared" ca="1" si="33"/>
        <v>4.6999999999999993</v>
      </c>
      <c r="BI37" s="131">
        <f t="shared" ca="1" si="33"/>
        <v>0</v>
      </c>
      <c r="BJ37" s="131">
        <f t="shared" ca="1" si="33"/>
        <v>0</v>
      </c>
      <c r="BL37" s="127">
        <f t="shared" si="42"/>
        <v>2006</v>
      </c>
      <c r="BM37" s="131">
        <f t="shared" ca="1" si="34"/>
        <v>0</v>
      </c>
      <c r="BN37" s="131">
        <f t="shared" ca="1" si="34"/>
        <v>0</v>
      </c>
      <c r="BO37" s="131">
        <f t="shared" ca="1" si="34"/>
        <v>0</v>
      </c>
      <c r="BP37" s="131">
        <f t="shared" ca="1" si="34"/>
        <v>19.800000000000004</v>
      </c>
      <c r="BQ37" s="131">
        <f t="shared" ca="1" si="34"/>
        <v>90.499999999999986</v>
      </c>
      <c r="BR37" s="131">
        <f t="shared" ca="1" si="34"/>
        <v>196.89999999999995</v>
      </c>
      <c r="BS37" s="131">
        <f t="shared" ca="1" si="34"/>
        <v>321.39999999999998</v>
      </c>
      <c r="BT37" s="131">
        <f t="shared" ca="1" si="34"/>
        <v>271.39999999999998</v>
      </c>
      <c r="BU37" s="131">
        <f t="shared" ca="1" si="34"/>
        <v>100.5</v>
      </c>
      <c r="BV37" s="131">
        <f t="shared" ca="1" si="34"/>
        <v>11.499999999999998</v>
      </c>
      <c r="BW37" s="131">
        <f t="shared" ca="1" si="34"/>
        <v>1.0999999999999996</v>
      </c>
      <c r="BX37" s="131">
        <f t="shared" ca="1" si="34"/>
        <v>0</v>
      </c>
      <c r="BZ37" s="127">
        <f t="shared" si="43"/>
        <v>2006</v>
      </c>
      <c r="CA37" s="131">
        <f t="shared" ca="1" si="35"/>
        <v>0</v>
      </c>
      <c r="CB37" s="131">
        <f t="shared" ca="1" si="35"/>
        <v>0</v>
      </c>
      <c r="CC37" s="131">
        <f t="shared" ca="1" si="35"/>
        <v>1.0999999999999996</v>
      </c>
      <c r="CD37" s="131">
        <f t="shared" ca="1" si="35"/>
        <v>39.499999999999993</v>
      </c>
      <c r="CE37" s="131">
        <f t="shared" ca="1" si="35"/>
        <v>133.09999999999997</v>
      </c>
      <c r="CF37" s="131">
        <f t="shared" ca="1" si="35"/>
        <v>256.89999999999998</v>
      </c>
      <c r="CG37" s="131">
        <f t="shared" ca="1" si="35"/>
        <v>383.39999999999992</v>
      </c>
      <c r="CH37" s="131">
        <f t="shared" ca="1" si="35"/>
        <v>333.39999999999986</v>
      </c>
      <c r="CI37" s="131">
        <f t="shared" ca="1" si="35"/>
        <v>152.19999999999999</v>
      </c>
      <c r="CJ37" s="131">
        <f t="shared" ca="1" si="35"/>
        <v>27.599999999999998</v>
      </c>
      <c r="CK37" s="131">
        <f t="shared" ca="1" si="35"/>
        <v>5</v>
      </c>
      <c r="CL37" s="131">
        <f t="shared" ca="1" si="35"/>
        <v>0</v>
      </c>
      <c r="CN37" s="127">
        <f t="shared" si="44"/>
        <v>2006</v>
      </c>
      <c r="CO37" s="131">
        <f t="shared" ca="1" si="36"/>
        <v>0</v>
      </c>
      <c r="CP37" s="131">
        <f t="shared" ca="1" si="36"/>
        <v>0</v>
      </c>
      <c r="CQ37" s="131">
        <f t="shared" ca="1" si="36"/>
        <v>5.8000000000000007</v>
      </c>
      <c r="CR37" s="131">
        <f t="shared" ca="1" si="36"/>
        <v>65.800000000000011</v>
      </c>
      <c r="CS37" s="131">
        <f t="shared" ca="1" si="36"/>
        <v>185.3</v>
      </c>
      <c r="CT37" s="131">
        <f t="shared" ca="1" si="36"/>
        <v>316.90000000000003</v>
      </c>
      <c r="CU37" s="131">
        <f t="shared" ca="1" si="36"/>
        <v>445.39999999999992</v>
      </c>
      <c r="CV37" s="131">
        <f t="shared" ca="1" si="36"/>
        <v>395.39999999999986</v>
      </c>
      <c r="CW37" s="131">
        <f t="shared" ca="1" si="36"/>
        <v>210.20000000000002</v>
      </c>
      <c r="CX37" s="131">
        <f t="shared" ca="1" si="36"/>
        <v>52.300000000000004</v>
      </c>
      <c r="CY37" s="131">
        <f t="shared" ca="1" si="36"/>
        <v>15.2</v>
      </c>
      <c r="CZ37" s="131">
        <f t="shared" ca="1" si="36"/>
        <v>0.59999999999999964</v>
      </c>
      <c r="DB37" s="127">
        <f t="shared" si="45"/>
        <v>2006</v>
      </c>
      <c r="DC37" s="131">
        <f t="shared" ca="1" si="37"/>
        <v>0.30000000000000071</v>
      </c>
      <c r="DD37" s="131">
        <f t="shared" ca="1" si="38"/>
        <v>0</v>
      </c>
      <c r="DE37" s="131">
        <f t="shared" ca="1" si="38"/>
        <v>15.4</v>
      </c>
      <c r="DF37" s="131">
        <f t="shared" ca="1" si="38"/>
        <v>101.80000000000001</v>
      </c>
      <c r="DG37" s="131">
        <f t="shared" ca="1" si="38"/>
        <v>244.7</v>
      </c>
      <c r="DH37" s="131">
        <f t="shared" ca="1" si="38"/>
        <v>376.9</v>
      </c>
      <c r="DI37" s="131">
        <f t="shared" ca="1" si="38"/>
        <v>507.39999999999992</v>
      </c>
      <c r="DJ37" s="131">
        <f t="shared" ca="1" si="38"/>
        <v>457.39999999999992</v>
      </c>
      <c r="DK37" s="131">
        <f t="shared" ca="1" si="38"/>
        <v>270.20000000000005</v>
      </c>
      <c r="DL37" s="131">
        <f t="shared" ca="1" si="38"/>
        <v>87.200000000000031</v>
      </c>
      <c r="DM37" s="131">
        <f t="shared" ca="1" si="38"/>
        <v>32.400000000000006</v>
      </c>
      <c r="DN37" s="131">
        <f t="shared" ca="1" si="38"/>
        <v>3.5</v>
      </c>
    </row>
    <row r="38" spans="1:118" x14ac:dyDescent="0.2">
      <c r="A38" s="127">
        <v>2004</v>
      </c>
      <c r="B38" s="130">
        <v>1</v>
      </c>
      <c r="C38" s="130">
        <v>-6.6096774193548402</v>
      </c>
      <c r="D38" s="131">
        <v>824.89999999999986</v>
      </c>
      <c r="E38" s="131">
        <v>0</v>
      </c>
      <c r="F38" s="131">
        <v>762.89999999999986</v>
      </c>
      <c r="G38" s="131">
        <v>0</v>
      </c>
      <c r="H38" s="131">
        <v>700.89999999999986</v>
      </c>
      <c r="I38" s="131">
        <v>0</v>
      </c>
      <c r="J38" s="131">
        <v>638.9</v>
      </c>
      <c r="K38" s="131">
        <v>0</v>
      </c>
      <c r="L38" s="131">
        <v>576.9</v>
      </c>
      <c r="M38" s="131">
        <v>0</v>
      </c>
      <c r="N38" s="131">
        <v>514.90000000000009</v>
      </c>
      <c r="O38" s="131">
        <v>0</v>
      </c>
      <c r="P38" s="131">
        <v>453.40000000000003</v>
      </c>
      <c r="Q38" s="131">
        <v>0.5</v>
      </c>
      <c r="R38" s="131"/>
      <c r="S38" s="131"/>
      <c r="T38" s="131"/>
      <c r="V38" s="127">
        <f t="shared" si="39"/>
        <v>2007</v>
      </c>
      <c r="W38" s="131">
        <f t="shared" ca="1" si="30"/>
        <v>0</v>
      </c>
      <c r="X38" s="131">
        <f t="shared" ca="1" si="31"/>
        <v>0</v>
      </c>
      <c r="Y38" s="131">
        <f t="shared" ca="1" si="31"/>
        <v>0</v>
      </c>
      <c r="Z38" s="131">
        <f t="shared" ca="1" si="31"/>
        <v>0</v>
      </c>
      <c r="AA38" s="131">
        <f t="shared" ca="1" si="31"/>
        <v>23.7</v>
      </c>
      <c r="AB38" s="131">
        <f t="shared" ca="1" si="31"/>
        <v>82.100000000000009</v>
      </c>
      <c r="AC38" s="131">
        <f t="shared" ca="1" si="31"/>
        <v>91.7</v>
      </c>
      <c r="AD38" s="131">
        <f t="shared" ca="1" si="31"/>
        <v>113.00000000000001</v>
      </c>
      <c r="AE38" s="131">
        <f t="shared" ca="1" si="31"/>
        <v>41.100000000000009</v>
      </c>
      <c r="AF38" s="131">
        <f t="shared" ca="1" si="31"/>
        <v>22.700000000000003</v>
      </c>
      <c r="AG38" s="131">
        <f t="shared" ca="1" si="31"/>
        <v>0</v>
      </c>
      <c r="AH38" s="131">
        <f t="shared" ca="1" si="31"/>
        <v>0</v>
      </c>
      <c r="AJ38" s="127">
        <f t="shared" si="40"/>
        <v>2007</v>
      </c>
      <c r="AK38" s="131">
        <f t="shared" ca="1" si="32"/>
        <v>0</v>
      </c>
      <c r="AL38" s="131">
        <f t="shared" ca="1" si="32"/>
        <v>0</v>
      </c>
      <c r="AM38" s="131">
        <f t="shared" ca="1" si="32"/>
        <v>0.19999999999999929</v>
      </c>
      <c r="AN38" s="131">
        <f t="shared" ca="1" si="32"/>
        <v>0.89999999999999858</v>
      </c>
      <c r="AO38" s="131">
        <f t="shared" ca="1" si="32"/>
        <v>46</v>
      </c>
      <c r="AP38" s="131">
        <f t="shared" ca="1" si="32"/>
        <v>132.20000000000002</v>
      </c>
      <c r="AQ38" s="131">
        <f t="shared" ca="1" si="32"/>
        <v>148.19999999999999</v>
      </c>
      <c r="AR38" s="131">
        <f t="shared" ca="1" si="32"/>
        <v>167.40000000000003</v>
      </c>
      <c r="AS38" s="131">
        <f t="shared" ca="1" si="32"/>
        <v>76.400000000000006</v>
      </c>
      <c r="AT38" s="131">
        <f t="shared" ca="1" si="32"/>
        <v>42.300000000000011</v>
      </c>
      <c r="AU38" s="131">
        <f t="shared" ca="1" si="32"/>
        <v>0</v>
      </c>
      <c r="AV38" s="131">
        <f t="shared" ca="1" si="32"/>
        <v>0</v>
      </c>
      <c r="AW38" s="147">
        <f t="shared" ca="1" si="8"/>
        <v>613.60000000000014</v>
      </c>
      <c r="AX38" s="127">
        <f t="shared" si="41"/>
        <v>2007</v>
      </c>
      <c r="AY38" s="131">
        <f t="shared" ca="1" si="33"/>
        <v>0</v>
      </c>
      <c r="AZ38" s="131">
        <f t="shared" ca="1" si="33"/>
        <v>0</v>
      </c>
      <c r="BA38" s="131">
        <f t="shared" ca="1" si="33"/>
        <v>3.1999999999999993</v>
      </c>
      <c r="BB38" s="131">
        <f t="shared" ca="1" si="33"/>
        <v>5.5999999999999979</v>
      </c>
      <c r="BC38" s="131">
        <f t="shared" ca="1" si="33"/>
        <v>74.900000000000006</v>
      </c>
      <c r="BD38" s="131">
        <f t="shared" ca="1" si="33"/>
        <v>188.2</v>
      </c>
      <c r="BE38" s="131">
        <f t="shared" ca="1" si="33"/>
        <v>208.9</v>
      </c>
      <c r="BF38" s="131">
        <f t="shared" ca="1" si="33"/>
        <v>225.30000000000004</v>
      </c>
      <c r="BG38" s="131">
        <f t="shared" ca="1" si="33"/>
        <v>123.30000000000001</v>
      </c>
      <c r="BH38" s="131">
        <f t="shared" ca="1" si="33"/>
        <v>71.999999999999986</v>
      </c>
      <c r="BI38" s="131">
        <f t="shared" ca="1" si="33"/>
        <v>0</v>
      </c>
      <c r="BJ38" s="131">
        <f t="shared" ca="1" si="33"/>
        <v>0</v>
      </c>
      <c r="BL38" s="127">
        <f t="shared" si="42"/>
        <v>2007</v>
      </c>
      <c r="BM38" s="131">
        <f t="shared" ca="1" si="34"/>
        <v>0</v>
      </c>
      <c r="BN38" s="131">
        <f t="shared" ca="1" si="34"/>
        <v>0</v>
      </c>
      <c r="BO38" s="131">
        <f t="shared" ca="1" si="34"/>
        <v>7.1999999999999993</v>
      </c>
      <c r="BP38" s="131">
        <f t="shared" ca="1" si="34"/>
        <v>13.099999999999998</v>
      </c>
      <c r="BQ38" s="131">
        <f t="shared" ca="1" si="34"/>
        <v>107.8</v>
      </c>
      <c r="BR38" s="131">
        <f t="shared" ca="1" si="34"/>
        <v>244.2</v>
      </c>
      <c r="BS38" s="131">
        <f t="shared" ca="1" si="34"/>
        <v>270.90000000000003</v>
      </c>
      <c r="BT38" s="131">
        <f t="shared" ca="1" si="34"/>
        <v>287</v>
      </c>
      <c r="BU38" s="131">
        <f t="shared" ca="1" si="34"/>
        <v>176</v>
      </c>
      <c r="BV38" s="131">
        <f t="shared" ca="1" si="34"/>
        <v>105.99999999999999</v>
      </c>
      <c r="BW38" s="131">
        <f t="shared" ca="1" si="34"/>
        <v>0</v>
      </c>
      <c r="BX38" s="131">
        <f t="shared" ca="1" si="34"/>
        <v>0</v>
      </c>
      <c r="BZ38" s="127">
        <f t="shared" si="43"/>
        <v>2007</v>
      </c>
      <c r="CA38" s="131">
        <f t="shared" ca="1" si="35"/>
        <v>0</v>
      </c>
      <c r="CB38" s="131">
        <f t="shared" ca="1" si="35"/>
        <v>0</v>
      </c>
      <c r="CC38" s="131">
        <f t="shared" ca="1" si="35"/>
        <v>13.2</v>
      </c>
      <c r="CD38" s="131">
        <f t="shared" ca="1" si="35"/>
        <v>29.800000000000004</v>
      </c>
      <c r="CE38" s="131">
        <f t="shared" ca="1" si="35"/>
        <v>150.4</v>
      </c>
      <c r="CF38" s="131">
        <f t="shared" ca="1" si="35"/>
        <v>304.09999999999997</v>
      </c>
      <c r="CG38" s="131">
        <f t="shared" ca="1" si="35"/>
        <v>332.90000000000003</v>
      </c>
      <c r="CH38" s="131">
        <f t="shared" ca="1" si="35"/>
        <v>349.00000000000011</v>
      </c>
      <c r="CI38" s="131">
        <f t="shared" ca="1" si="35"/>
        <v>231.6</v>
      </c>
      <c r="CJ38" s="131">
        <f t="shared" ca="1" si="35"/>
        <v>142.1</v>
      </c>
      <c r="CK38" s="131">
        <f t="shared" ca="1" si="35"/>
        <v>0.59999999999999964</v>
      </c>
      <c r="CL38" s="131">
        <f t="shared" ca="1" si="35"/>
        <v>0</v>
      </c>
      <c r="CN38" s="127">
        <f t="shared" si="44"/>
        <v>2007</v>
      </c>
      <c r="CO38" s="131">
        <f t="shared" ca="1" si="36"/>
        <v>0</v>
      </c>
      <c r="CP38" s="131">
        <f t="shared" ca="1" si="36"/>
        <v>0</v>
      </c>
      <c r="CQ38" s="131">
        <f t="shared" ca="1" si="36"/>
        <v>23.099999999999998</v>
      </c>
      <c r="CR38" s="131">
        <f t="shared" ca="1" si="36"/>
        <v>54.9</v>
      </c>
      <c r="CS38" s="131">
        <f t="shared" ca="1" si="36"/>
        <v>207.50000000000006</v>
      </c>
      <c r="CT38" s="131">
        <f t="shared" ca="1" si="36"/>
        <v>364.09999999999997</v>
      </c>
      <c r="CU38" s="131">
        <f t="shared" ca="1" si="36"/>
        <v>394.9</v>
      </c>
      <c r="CV38" s="131">
        <f t="shared" ca="1" si="36"/>
        <v>411.00000000000006</v>
      </c>
      <c r="CW38" s="131">
        <f t="shared" ca="1" si="36"/>
        <v>291</v>
      </c>
      <c r="CX38" s="131">
        <f t="shared" ca="1" si="36"/>
        <v>186.20000000000002</v>
      </c>
      <c r="CY38" s="131">
        <f t="shared" ca="1" si="36"/>
        <v>6.4</v>
      </c>
      <c r="CZ38" s="131">
        <f t="shared" ca="1" si="36"/>
        <v>0</v>
      </c>
      <c r="DB38" s="127">
        <f t="shared" si="45"/>
        <v>2007</v>
      </c>
      <c r="DC38" s="131">
        <f t="shared" ca="1" si="37"/>
        <v>1.4000000000000004</v>
      </c>
      <c r="DD38" s="131">
        <f t="shared" ca="1" si="38"/>
        <v>0</v>
      </c>
      <c r="DE38" s="131">
        <f t="shared" ca="1" si="38"/>
        <v>37.099999999999994</v>
      </c>
      <c r="DF38" s="131">
        <f t="shared" ca="1" si="38"/>
        <v>87</v>
      </c>
      <c r="DG38" s="131">
        <f t="shared" ca="1" si="38"/>
        <v>268.8</v>
      </c>
      <c r="DH38" s="131">
        <f t="shared" ca="1" si="38"/>
        <v>424.09999999999991</v>
      </c>
      <c r="DI38" s="131">
        <f t="shared" ca="1" si="38"/>
        <v>456.90000000000003</v>
      </c>
      <c r="DJ38" s="131">
        <f t="shared" ca="1" si="38"/>
        <v>473.00000000000006</v>
      </c>
      <c r="DK38" s="131">
        <f t="shared" ca="1" si="38"/>
        <v>351.00000000000006</v>
      </c>
      <c r="DL38" s="131">
        <f t="shared" ca="1" si="38"/>
        <v>241.8</v>
      </c>
      <c r="DM38" s="131">
        <f t="shared" ca="1" si="38"/>
        <v>14.2</v>
      </c>
      <c r="DN38" s="131">
        <f t="shared" ca="1" si="38"/>
        <v>0</v>
      </c>
    </row>
    <row r="39" spans="1:118" x14ac:dyDescent="0.2">
      <c r="A39" s="127">
        <v>2004</v>
      </c>
      <c r="B39" s="130">
        <v>2</v>
      </c>
      <c r="C39" s="130">
        <v>-1.9793103448275864</v>
      </c>
      <c r="D39" s="131">
        <v>637.40000000000009</v>
      </c>
      <c r="E39" s="131">
        <v>0</v>
      </c>
      <c r="F39" s="131">
        <v>579.4</v>
      </c>
      <c r="G39" s="131">
        <v>0</v>
      </c>
      <c r="H39" s="131">
        <v>521.4</v>
      </c>
      <c r="I39" s="131">
        <v>0</v>
      </c>
      <c r="J39" s="131">
        <v>463.4</v>
      </c>
      <c r="K39" s="131">
        <v>0</v>
      </c>
      <c r="L39" s="131">
        <v>405.4</v>
      </c>
      <c r="M39" s="131">
        <v>0</v>
      </c>
      <c r="N39" s="131">
        <v>347.4</v>
      </c>
      <c r="O39" s="131">
        <v>0</v>
      </c>
      <c r="P39" s="131">
        <v>289.39999999999998</v>
      </c>
      <c r="Q39" s="131">
        <v>0</v>
      </c>
      <c r="R39" s="131"/>
      <c r="S39" s="131"/>
      <c r="T39" s="131"/>
      <c r="V39" s="127">
        <f t="shared" si="39"/>
        <v>2008</v>
      </c>
      <c r="W39" s="131">
        <f t="shared" ca="1" si="30"/>
        <v>0</v>
      </c>
      <c r="X39" s="131">
        <f t="shared" ca="1" si="31"/>
        <v>0</v>
      </c>
      <c r="Y39" s="131">
        <f t="shared" ca="1" si="31"/>
        <v>0</v>
      </c>
      <c r="Z39" s="131">
        <f t="shared" ca="1" si="31"/>
        <v>0</v>
      </c>
      <c r="AA39" s="131">
        <f t="shared" ca="1" si="31"/>
        <v>5.6000000000000014</v>
      </c>
      <c r="AB39" s="131">
        <f t="shared" ca="1" si="31"/>
        <v>75.899999999999991</v>
      </c>
      <c r="AC39" s="131">
        <f t="shared" ca="1" si="31"/>
        <v>130.9</v>
      </c>
      <c r="AD39" s="131">
        <f t="shared" ca="1" si="31"/>
        <v>87.9</v>
      </c>
      <c r="AE39" s="131">
        <f t="shared" ca="1" si="31"/>
        <v>31.2</v>
      </c>
      <c r="AF39" s="131">
        <f t="shared" ca="1" si="31"/>
        <v>0</v>
      </c>
      <c r="AG39" s="131">
        <f t="shared" ca="1" si="31"/>
        <v>0</v>
      </c>
      <c r="AH39" s="131">
        <f t="shared" ca="1" si="31"/>
        <v>0</v>
      </c>
      <c r="AJ39" s="127">
        <f t="shared" si="40"/>
        <v>2008</v>
      </c>
      <c r="AK39" s="131">
        <f t="shared" ca="1" si="32"/>
        <v>0</v>
      </c>
      <c r="AL39" s="131">
        <f t="shared" ca="1" si="32"/>
        <v>0</v>
      </c>
      <c r="AM39" s="131">
        <f t="shared" ca="1" si="32"/>
        <v>0</v>
      </c>
      <c r="AN39" s="131">
        <f t="shared" ca="1" si="32"/>
        <v>1.3000000000000007</v>
      </c>
      <c r="AO39" s="131">
        <f t="shared" ca="1" si="32"/>
        <v>11.600000000000001</v>
      </c>
      <c r="AP39" s="131">
        <f t="shared" ca="1" si="32"/>
        <v>123.89999999999998</v>
      </c>
      <c r="AQ39" s="131">
        <f t="shared" ca="1" si="32"/>
        <v>188.59999999999997</v>
      </c>
      <c r="AR39" s="131">
        <f t="shared" ca="1" si="32"/>
        <v>144.80000000000001</v>
      </c>
      <c r="AS39" s="131">
        <f t="shared" ca="1" si="32"/>
        <v>65</v>
      </c>
      <c r="AT39" s="131">
        <f t="shared" ca="1" si="32"/>
        <v>3.2999999999999972</v>
      </c>
      <c r="AU39" s="131">
        <f t="shared" ca="1" si="32"/>
        <v>0</v>
      </c>
      <c r="AV39" s="131">
        <f t="shared" ca="1" si="32"/>
        <v>0</v>
      </c>
      <c r="AW39" s="147">
        <f t="shared" ca="1" si="8"/>
        <v>538.5</v>
      </c>
      <c r="AX39" s="127">
        <f t="shared" si="41"/>
        <v>2008</v>
      </c>
      <c r="AY39" s="131">
        <f t="shared" ca="1" si="33"/>
        <v>0</v>
      </c>
      <c r="AZ39" s="131">
        <f t="shared" ca="1" si="33"/>
        <v>0</v>
      </c>
      <c r="BA39" s="131">
        <f t="shared" ca="1" si="33"/>
        <v>0</v>
      </c>
      <c r="BB39" s="131">
        <f t="shared" ca="1" si="33"/>
        <v>6.2999999999999972</v>
      </c>
      <c r="BC39" s="131">
        <f t="shared" ca="1" si="33"/>
        <v>18.799999999999997</v>
      </c>
      <c r="BD39" s="131">
        <f t="shared" ca="1" si="33"/>
        <v>181.20000000000002</v>
      </c>
      <c r="BE39" s="131">
        <f t="shared" ca="1" si="33"/>
        <v>250.29999999999995</v>
      </c>
      <c r="BF39" s="131">
        <f t="shared" ca="1" si="33"/>
        <v>205.90000000000009</v>
      </c>
      <c r="BG39" s="131">
        <f t="shared" ca="1" si="33"/>
        <v>113.40000000000003</v>
      </c>
      <c r="BH39" s="131">
        <f t="shared" ca="1" si="33"/>
        <v>9</v>
      </c>
      <c r="BI39" s="131">
        <f t="shared" ca="1" si="33"/>
        <v>0</v>
      </c>
      <c r="BJ39" s="131">
        <f t="shared" ca="1" si="33"/>
        <v>0</v>
      </c>
      <c r="BL39" s="127">
        <f t="shared" si="42"/>
        <v>2008</v>
      </c>
      <c r="BM39" s="131">
        <f t="shared" ca="1" si="34"/>
        <v>0</v>
      </c>
      <c r="BN39" s="131">
        <f t="shared" ca="1" si="34"/>
        <v>0</v>
      </c>
      <c r="BO39" s="131">
        <f t="shared" ca="1" si="34"/>
        <v>0</v>
      </c>
      <c r="BP39" s="131">
        <f t="shared" ca="1" si="34"/>
        <v>21.7</v>
      </c>
      <c r="BQ39" s="131">
        <f t="shared" ca="1" si="34"/>
        <v>36.599999999999994</v>
      </c>
      <c r="BR39" s="131">
        <f t="shared" ca="1" si="34"/>
        <v>240.70000000000005</v>
      </c>
      <c r="BS39" s="131">
        <f t="shared" ca="1" si="34"/>
        <v>312.3</v>
      </c>
      <c r="BT39" s="131">
        <f t="shared" ca="1" si="34"/>
        <v>267.90000000000009</v>
      </c>
      <c r="BU39" s="131">
        <f t="shared" ca="1" si="34"/>
        <v>172.8</v>
      </c>
      <c r="BV39" s="131">
        <f t="shared" ca="1" si="34"/>
        <v>22.4</v>
      </c>
      <c r="BW39" s="131">
        <f t="shared" ca="1" si="34"/>
        <v>1.5999999999999996</v>
      </c>
      <c r="BX39" s="131">
        <f t="shared" ca="1" si="34"/>
        <v>0</v>
      </c>
      <c r="BZ39" s="127">
        <f t="shared" si="43"/>
        <v>2008</v>
      </c>
      <c r="CA39" s="131">
        <f t="shared" ca="1" si="35"/>
        <v>2.0999999999999996</v>
      </c>
      <c r="CB39" s="131">
        <f t="shared" ca="1" si="35"/>
        <v>0</v>
      </c>
      <c r="CC39" s="131">
        <f t="shared" ca="1" si="35"/>
        <v>0</v>
      </c>
      <c r="CD39" s="131">
        <f t="shared" ca="1" si="35"/>
        <v>46.399999999999984</v>
      </c>
      <c r="CE39" s="131">
        <f t="shared" ca="1" si="35"/>
        <v>66.999999999999986</v>
      </c>
      <c r="CF39" s="131">
        <f t="shared" ca="1" si="35"/>
        <v>300.70000000000005</v>
      </c>
      <c r="CG39" s="131">
        <f t="shared" ca="1" si="35"/>
        <v>374.30000000000007</v>
      </c>
      <c r="CH39" s="131">
        <f t="shared" ca="1" si="35"/>
        <v>329.90000000000003</v>
      </c>
      <c r="CI39" s="131">
        <f t="shared" ca="1" si="35"/>
        <v>232.79999999999995</v>
      </c>
      <c r="CJ39" s="131">
        <f t="shared" ca="1" si="35"/>
        <v>41.099999999999994</v>
      </c>
      <c r="CK39" s="131">
        <f t="shared" ca="1" si="35"/>
        <v>9.3000000000000007</v>
      </c>
      <c r="CL39" s="131">
        <f t="shared" ca="1" si="35"/>
        <v>0</v>
      </c>
      <c r="CN39" s="127">
        <f t="shared" si="44"/>
        <v>2008</v>
      </c>
      <c r="CO39" s="131">
        <f t="shared" ca="1" si="36"/>
        <v>6.1</v>
      </c>
      <c r="CP39" s="131">
        <f t="shared" ca="1" si="36"/>
        <v>0</v>
      </c>
      <c r="CQ39" s="131">
        <f t="shared" ca="1" si="36"/>
        <v>0.80000000000000071</v>
      </c>
      <c r="CR39" s="131">
        <f t="shared" ca="1" si="36"/>
        <v>76.899999999999991</v>
      </c>
      <c r="CS39" s="131">
        <f t="shared" ca="1" si="36"/>
        <v>117.3</v>
      </c>
      <c r="CT39" s="131">
        <f t="shared" ca="1" si="36"/>
        <v>360.7000000000001</v>
      </c>
      <c r="CU39" s="131">
        <f t="shared" ca="1" si="36"/>
        <v>436.3</v>
      </c>
      <c r="CV39" s="131">
        <f t="shared" ca="1" si="36"/>
        <v>391.90000000000003</v>
      </c>
      <c r="CW39" s="131">
        <f t="shared" ca="1" si="36"/>
        <v>292.7999999999999</v>
      </c>
      <c r="CX39" s="131">
        <f t="shared" ca="1" si="36"/>
        <v>68.100000000000009</v>
      </c>
      <c r="CY39" s="131">
        <f t="shared" ca="1" si="36"/>
        <v>20</v>
      </c>
      <c r="CZ39" s="131">
        <f t="shared" ca="1" si="36"/>
        <v>0.80000000000000071</v>
      </c>
      <c r="DB39" s="127">
        <f t="shared" si="45"/>
        <v>2008</v>
      </c>
      <c r="DC39" s="131">
        <f t="shared" ca="1" si="37"/>
        <v>10.1</v>
      </c>
      <c r="DD39" s="131">
        <f t="shared" ca="1" si="38"/>
        <v>0</v>
      </c>
      <c r="DE39" s="131">
        <f t="shared" ca="1" si="38"/>
        <v>2.8000000000000007</v>
      </c>
      <c r="DF39" s="131">
        <f t="shared" ca="1" si="38"/>
        <v>108.89999999999999</v>
      </c>
      <c r="DG39" s="131">
        <f t="shared" ca="1" si="38"/>
        <v>178.20000000000005</v>
      </c>
      <c r="DH39" s="131">
        <f t="shared" ca="1" si="38"/>
        <v>420.7000000000001</v>
      </c>
      <c r="DI39" s="131">
        <f t="shared" ca="1" si="38"/>
        <v>498.3</v>
      </c>
      <c r="DJ39" s="131">
        <f t="shared" ca="1" si="38"/>
        <v>453.90000000000003</v>
      </c>
      <c r="DK39" s="131">
        <f t="shared" ca="1" si="38"/>
        <v>352.7999999999999</v>
      </c>
      <c r="DL39" s="131">
        <f t="shared" ca="1" si="38"/>
        <v>111.29999999999997</v>
      </c>
      <c r="DM39" s="131">
        <f t="shared" ca="1" si="38"/>
        <v>34.5</v>
      </c>
      <c r="DN39" s="131">
        <f t="shared" ca="1" si="38"/>
        <v>2.8000000000000007</v>
      </c>
    </row>
    <row r="40" spans="1:118" x14ac:dyDescent="0.2">
      <c r="A40" s="127">
        <v>2004</v>
      </c>
      <c r="B40" s="130">
        <v>3</v>
      </c>
      <c r="C40" s="130">
        <v>4.1516129032258062</v>
      </c>
      <c r="D40" s="131">
        <v>491.2999999999999</v>
      </c>
      <c r="E40" s="131">
        <v>0</v>
      </c>
      <c r="F40" s="131">
        <v>429.29999999999995</v>
      </c>
      <c r="G40" s="131">
        <v>0</v>
      </c>
      <c r="H40" s="131">
        <v>367.29999999999995</v>
      </c>
      <c r="I40" s="131">
        <v>0</v>
      </c>
      <c r="J40" s="131">
        <v>305.29999999999995</v>
      </c>
      <c r="K40" s="131">
        <v>0</v>
      </c>
      <c r="L40" s="131">
        <v>246.9</v>
      </c>
      <c r="M40" s="131">
        <v>3.5999999999999996</v>
      </c>
      <c r="N40" s="131">
        <v>191.2</v>
      </c>
      <c r="O40" s="131">
        <v>9.8999999999999986</v>
      </c>
      <c r="P40" s="131">
        <v>141.80000000000001</v>
      </c>
      <c r="Q40" s="131">
        <v>22.5</v>
      </c>
      <c r="R40" s="131"/>
      <c r="S40" s="131"/>
      <c r="T40" s="131"/>
      <c r="V40" s="127">
        <f t="shared" si="39"/>
        <v>2009</v>
      </c>
      <c r="W40" s="131">
        <f t="shared" ca="1" si="30"/>
        <v>0</v>
      </c>
      <c r="X40" s="131">
        <f t="shared" ca="1" si="31"/>
        <v>0</v>
      </c>
      <c r="Y40" s="131">
        <f t="shared" ca="1" si="31"/>
        <v>0</v>
      </c>
      <c r="Z40" s="131">
        <f t="shared" ca="1" si="31"/>
        <v>4.3999999999999986</v>
      </c>
      <c r="AA40" s="131">
        <f t="shared" ca="1" si="31"/>
        <v>5.3000000000000043</v>
      </c>
      <c r="AB40" s="131">
        <f t="shared" ca="1" si="31"/>
        <v>37.799999999999997</v>
      </c>
      <c r="AC40" s="131">
        <f t="shared" ca="1" si="31"/>
        <v>38.400000000000006</v>
      </c>
      <c r="AD40" s="131">
        <f t="shared" ca="1" si="31"/>
        <v>76.599999999999994</v>
      </c>
      <c r="AE40" s="131">
        <f t="shared" ca="1" si="31"/>
        <v>19.299999999999997</v>
      </c>
      <c r="AF40" s="131">
        <f t="shared" ca="1" si="31"/>
        <v>0</v>
      </c>
      <c r="AG40" s="131">
        <f t="shared" ca="1" si="31"/>
        <v>0</v>
      </c>
      <c r="AH40" s="131">
        <f t="shared" ca="1" si="31"/>
        <v>0</v>
      </c>
      <c r="AJ40" s="127">
        <f t="shared" si="40"/>
        <v>2009</v>
      </c>
      <c r="AK40" s="131">
        <f t="shared" ca="1" si="32"/>
        <v>0</v>
      </c>
      <c r="AL40" s="131">
        <f t="shared" ca="1" si="32"/>
        <v>0</v>
      </c>
      <c r="AM40" s="131">
        <f t="shared" ca="1" si="32"/>
        <v>0</v>
      </c>
      <c r="AN40" s="131">
        <f t="shared" ca="1" si="32"/>
        <v>11.099999999999998</v>
      </c>
      <c r="AO40" s="131">
        <f t="shared" ca="1" si="32"/>
        <v>14.800000000000004</v>
      </c>
      <c r="AP40" s="131">
        <f t="shared" ca="1" si="32"/>
        <v>70.099999999999994</v>
      </c>
      <c r="AQ40" s="131">
        <f t="shared" ca="1" si="32"/>
        <v>87.999999999999986</v>
      </c>
      <c r="AR40" s="131">
        <f t="shared" ca="1" si="32"/>
        <v>124.30000000000003</v>
      </c>
      <c r="AS40" s="131">
        <f t="shared" ca="1" si="32"/>
        <v>47.499999999999986</v>
      </c>
      <c r="AT40" s="131">
        <f t="shared" ca="1" si="32"/>
        <v>0</v>
      </c>
      <c r="AU40" s="131">
        <f t="shared" ca="1" si="32"/>
        <v>0</v>
      </c>
      <c r="AV40" s="131">
        <f t="shared" ca="1" si="32"/>
        <v>0</v>
      </c>
      <c r="AW40" s="147">
        <f t="shared" ca="1" si="8"/>
        <v>355.8</v>
      </c>
      <c r="AX40" s="127">
        <f t="shared" si="41"/>
        <v>2009</v>
      </c>
      <c r="AY40" s="131">
        <f t="shared" ca="1" si="33"/>
        <v>0</v>
      </c>
      <c r="AZ40" s="131">
        <f t="shared" ca="1" si="33"/>
        <v>0</v>
      </c>
      <c r="BA40" s="131">
        <f t="shared" ca="1" si="33"/>
        <v>0</v>
      </c>
      <c r="BB40" s="131">
        <f t="shared" ca="1" si="33"/>
        <v>19.899999999999999</v>
      </c>
      <c r="BC40" s="131">
        <f t="shared" ca="1" si="33"/>
        <v>36.900000000000006</v>
      </c>
      <c r="BD40" s="131">
        <f t="shared" ca="1" si="33"/>
        <v>115.30000000000001</v>
      </c>
      <c r="BE40" s="131">
        <f t="shared" ca="1" si="33"/>
        <v>148.60000000000002</v>
      </c>
      <c r="BF40" s="131">
        <f t="shared" ca="1" si="33"/>
        <v>180.79999999999998</v>
      </c>
      <c r="BG40" s="131">
        <f t="shared" ca="1" si="33"/>
        <v>92.399999999999991</v>
      </c>
      <c r="BH40" s="131">
        <f t="shared" ca="1" si="33"/>
        <v>0.69999999999999929</v>
      </c>
      <c r="BI40" s="131">
        <f t="shared" ca="1" si="33"/>
        <v>0</v>
      </c>
      <c r="BJ40" s="131">
        <f t="shared" ca="1" si="33"/>
        <v>0</v>
      </c>
      <c r="BL40" s="127">
        <f t="shared" si="42"/>
        <v>2009</v>
      </c>
      <c r="BM40" s="131">
        <f t="shared" ca="1" si="34"/>
        <v>0</v>
      </c>
      <c r="BN40" s="131">
        <f t="shared" ca="1" si="34"/>
        <v>0</v>
      </c>
      <c r="BO40" s="131">
        <f t="shared" ca="1" si="34"/>
        <v>0</v>
      </c>
      <c r="BP40" s="131">
        <f t="shared" ca="1" si="34"/>
        <v>30.7</v>
      </c>
      <c r="BQ40" s="131">
        <f t="shared" ca="1" si="34"/>
        <v>74.100000000000023</v>
      </c>
      <c r="BR40" s="131">
        <f t="shared" ca="1" si="34"/>
        <v>168.5</v>
      </c>
      <c r="BS40" s="131">
        <f t="shared" ca="1" si="34"/>
        <v>210.60000000000002</v>
      </c>
      <c r="BT40" s="131">
        <f t="shared" ca="1" si="34"/>
        <v>241.6</v>
      </c>
      <c r="BU40" s="131">
        <f t="shared" ca="1" si="34"/>
        <v>145.20000000000002</v>
      </c>
      <c r="BV40" s="131">
        <f t="shared" ca="1" si="34"/>
        <v>4.6999999999999993</v>
      </c>
      <c r="BW40" s="131">
        <f t="shared" ca="1" si="34"/>
        <v>0.40000000000000036</v>
      </c>
      <c r="BX40" s="131">
        <f t="shared" ca="1" si="34"/>
        <v>0</v>
      </c>
      <c r="BZ40" s="127">
        <f t="shared" si="43"/>
        <v>2009</v>
      </c>
      <c r="CA40" s="131">
        <f t="shared" ca="1" si="35"/>
        <v>0</v>
      </c>
      <c r="CB40" s="131">
        <f t="shared" ca="1" si="35"/>
        <v>0</v>
      </c>
      <c r="CC40" s="131">
        <f t="shared" ca="1" si="35"/>
        <v>0</v>
      </c>
      <c r="CD40" s="131">
        <f t="shared" ca="1" si="35"/>
        <v>44.2</v>
      </c>
      <c r="CE40" s="131">
        <f t="shared" ca="1" si="35"/>
        <v>126.80000000000001</v>
      </c>
      <c r="CF40" s="131">
        <f t="shared" ca="1" si="35"/>
        <v>224.79999999999998</v>
      </c>
      <c r="CG40" s="131">
        <f t="shared" ca="1" si="35"/>
        <v>272.60000000000002</v>
      </c>
      <c r="CH40" s="131">
        <f t="shared" ca="1" si="35"/>
        <v>303.59999999999991</v>
      </c>
      <c r="CI40" s="131">
        <f t="shared" ca="1" si="35"/>
        <v>201.60000000000002</v>
      </c>
      <c r="CJ40" s="131">
        <f t="shared" ca="1" si="35"/>
        <v>13.1</v>
      </c>
      <c r="CK40" s="131">
        <f t="shared" ca="1" si="35"/>
        <v>3.9000000000000004</v>
      </c>
      <c r="CL40" s="131">
        <f t="shared" ca="1" si="35"/>
        <v>0</v>
      </c>
      <c r="CN40" s="127">
        <f t="shared" si="44"/>
        <v>2009</v>
      </c>
      <c r="CO40" s="131">
        <f t="shared" ca="1" si="36"/>
        <v>0</v>
      </c>
      <c r="CP40" s="131">
        <f t="shared" ca="1" si="36"/>
        <v>0</v>
      </c>
      <c r="CQ40" s="131">
        <f t="shared" ca="1" si="36"/>
        <v>1.8999999999999986</v>
      </c>
      <c r="CR40" s="131">
        <f t="shared" ca="1" si="36"/>
        <v>62.2</v>
      </c>
      <c r="CS40" s="131">
        <f t="shared" ca="1" si="36"/>
        <v>186.99999999999997</v>
      </c>
      <c r="CT40" s="131">
        <f t="shared" ca="1" si="36"/>
        <v>284.8</v>
      </c>
      <c r="CU40" s="131">
        <f t="shared" ca="1" si="36"/>
        <v>334.59999999999997</v>
      </c>
      <c r="CV40" s="131">
        <f t="shared" ca="1" si="36"/>
        <v>365.59999999999997</v>
      </c>
      <c r="CW40" s="131">
        <f t="shared" ca="1" si="36"/>
        <v>259.59999999999997</v>
      </c>
      <c r="CX40" s="131">
        <f t="shared" ca="1" si="36"/>
        <v>39.799999999999997</v>
      </c>
      <c r="CY40" s="131">
        <f t="shared" ca="1" si="36"/>
        <v>10.4</v>
      </c>
      <c r="CZ40" s="131">
        <f t="shared" ca="1" si="36"/>
        <v>0</v>
      </c>
      <c r="DB40" s="127">
        <f t="shared" si="45"/>
        <v>2009</v>
      </c>
      <c r="DC40" s="131">
        <f t="shared" ca="1" si="37"/>
        <v>0</v>
      </c>
      <c r="DD40" s="131">
        <f t="shared" ca="1" si="38"/>
        <v>1.6999999999999993</v>
      </c>
      <c r="DE40" s="131">
        <f t="shared" ca="1" si="38"/>
        <v>8.6</v>
      </c>
      <c r="DF40" s="131">
        <f t="shared" ca="1" si="38"/>
        <v>87.6</v>
      </c>
      <c r="DG40" s="131">
        <f t="shared" ca="1" si="38"/>
        <v>248.99999999999997</v>
      </c>
      <c r="DH40" s="131">
        <f t="shared" ca="1" si="38"/>
        <v>344.80000000000007</v>
      </c>
      <c r="DI40" s="131">
        <f t="shared" ca="1" si="38"/>
        <v>396.59999999999997</v>
      </c>
      <c r="DJ40" s="131">
        <f t="shared" ca="1" si="38"/>
        <v>427.59999999999991</v>
      </c>
      <c r="DK40" s="131">
        <f t="shared" ca="1" si="38"/>
        <v>319.49999999999994</v>
      </c>
      <c r="DL40" s="131">
        <f t="shared" ca="1" si="38"/>
        <v>82.3</v>
      </c>
      <c r="DM40" s="131">
        <f t="shared" ca="1" si="38"/>
        <v>26.1</v>
      </c>
      <c r="DN40" s="131">
        <f t="shared" ca="1" si="38"/>
        <v>0</v>
      </c>
    </row>
    <row r="41" spans="1:118" x14ac:dyDescent="0.2">
      <c r="A41" s="127">
        <v>2004</v>
      </c>
      <c r="B41" s="130">
        <v>4</v>
      </c>
      <c r="C41" s="130">
        <v>9.7566666666666642</v>
      </c>
      <c r="D41" s="131">
        <v>307.50000000000006</v>
      </c>
      <c r="E41" s="131">
        <v>0.19999999999999929</v>
      </c>
      <c r="F41" s="131">
        <v>251.70000000000002</v>
      </c>
      <c r="G41" s="131">
        <v>4.3999999999999986</v>
      </c>
      <c r="H41" s="131">
        <v>199.70000000000002</v>
      </c>
      <c r="I41" s="131">
        <v>12.399999999999999</v>
      </c>
      <c r="J41" s="131">
        <v>153.1</v>
      </c>
      <c r="K41" s="131">
        <v>25.799999999999997</v>
      </c>
      <c r="L41" s="131">
        <v>109.6</v>
      </c>
      <c r="M41" s="131">
        <v>42.3</v>
      </c>
      <c r="N41" s="131">
        <v>69.3</v>
      </c>
      <c r="O41" s="131">
        <v>62</v>
      </c>
      <c r="P41" s="131">
        <v>34.6</v>
      </c>
      <c r="Q41" s="131">
        <v>87.300000000000011</v>
      </c>
      <c r="R41" s="131"/>
      <c r="S41" s="131"/>
      <c r="T41" s="131"/>
      <c r="V41" s="127">
        <f t="shared" si="39"/>
        <v>2010</v>
      </c>
      <c r="W41" s="131">
        <f t="shared" ca="1" si="30"/>
        <v>0</v>
      </c>
      <c r="X41" s="131">
        <f t="shared" ca="1" si="31"/>
        <v>0</v>
      </c>
      <c r="Y41" s="131">
        <f t="shared" ca="1" si="31"/>
        <v>0</v>
      </c>
      <c r="Z41" s="131">
        <f t="shared" ca="1" si="31"/>
        <v>0</v>
      </c>
      <c r="AA41" s="131">
        <f t="shared" ca="1" si="31"/>
        <v>21.700000000000003</v>
      </c>
      <c r="AB41" s="131">
        <f t="shared" ca="1" si="31"/>
        <v>73.199999999999989</v>
      </c>
      <c r="AC41" s="131">
        <f t="shared" ca="1" si="31"/>
        <v>156.80000000000001</v>
      </c>
      <c r="AD41" s="131">
        <f t="shared" ca="1" si="31"/>
        <v>130.30000000000001</v>
      </c>
      <c r="AE41" s="131">
        <f t="shared" ca="1" si="31"/>
        <v>28.799999999999997</v>
      </c>
      <c r="AF41" s="131">
        <f t="shared" ca="1" si="31"/>
        <v>0</v>
      </c>
      <c r="AG41" s="131">
        <f t="shared" ca="1" si="31"/>
        <v>0</v>
      </c>
      <c r="AH41" s="131">
        <f t="shared" ca="1" si="31"/>
        <v>0</v>
      </c>
      <c r="AJ41" s="127">
        <f t="shared" si="40"/>
        <v>2010</v>
      </c>
      <c r="AK41" s="131">
        <f t="shared" ca="1" si="32"/>
        <v>0</v>
      </c>
      <c r="AL41" s="131">
        <f t="shared" ca="1" si="32"/>
        <v>0</v>
      </c>
      <c r="AM41" s="131">
        <f t="shared" ca="1" si="32"/>
        <v>0</v>
      </c>
      <c r="AN41" s="131">
        <f t="shared" ca="1" si="32"/>
        <v>1.4000000000000021</v>
      </c>
      <c r="AO41" s="131">
        <f t="shared" ca="1" si="32"/>
        <v>49.9</v>
      </c>
      <c r="AP41" s="131">
        <f t="shared" ca="1" si="32"/>
        <v>124.20000000000002</v>
      </c>
      <c r="AQ41" s="131">
        <f t="shared" ca="1" si="32"/>
        <v>216.20000000000005</v>
      </c>
      <c r="AR41" s="131">
        <f t="shared" ca="1" si="32"/>
        <v>189.29999999999995</v>
      </c>
      <c r="AS41" s="131">
        <f t="shared" ca="1" si="32"/>
        <v>50</v>
      </c>
      <c r="AT41" s="131">
        <f t="shared" ca="1" si="32"/>
        <v>1.3000000000000007</v>
      </c>
      <c r="AU41" s="131">
        <f t="shared" ca="1" si="32"/>
        <v>0</v>
      </c>
      <c r="AV41" s="131">
        <f t="shared" ca="1" si="32"/>
        <v>0</v>
      </c>
      <c r="AW41" s="147">
        <f t="shared" ca="1" si="8"/>
        <v>632.29999999999995</v>
      </c>
      <c r="AX41" s="127">
        <f t="shared" si="41"/>
        <v>2010</v>
      </c>
      <c r="AY41" s="131">
        <f t="shared" ca="1" si="33"/>
        <v>0</v>
      </c>
      <c r="AZ41" s="131">
        <f t="shared" ca="1" si="33"/>
        <v>0</v>
      </c>
      <c r="BA41" s="131">
        <f t="shared" ca="1" si="33"/>
        <v>0</v>
      </c>
      <c r="BB41" s="131">
        <f t="shared" ca="1" si="33"/>
        <v>13.599999999999998</v>
      </c>
      <c r="BC41" s="131">
        <f t="shared" ca="1" si="33"/>
        <v>83.699999999999989</v>
      </c>
      <c r="BD41" s="131">
        <f t="shared" ca="1" si="33"/>
        <v>178.99999999999997</v>
      </c>
      <c r="BE41" s="131">
        <f t="shared" ca="1" si="33"/>
        <v>278.10000000000002</v>
      </c>
      <c r="BF41" s="131">
        <f t="shared" ca="1" si="33"/>
        <v>251.29999999999995</v>
      </c>
      <c r="BG41" s="131">
        <f t="shared" ca="1" si="33"/>
        <v>81.100000000000009</v>
      </c>
      <c r="BH41" s="131">
        <f t="shared" ca="1" si="33"/>
        <v>9.8000000000000007</v>
      </c>
      <c r="BI41" s="131">
        <f t="shared" ca="1" si="33"/>
        <v>0</v>
      </c>
      <c r="BJ41" s="131">
        <f t="shared" ca="1" si="33"/>
        <v>0</v>
      </c>
      <c r="BL41" s="127">
        <f t="shared" si="42"/>
        <v>2010</v>
      </c>
      <c r="BM41" s="131">
        <f t="shared" ca="1" si="34"/>
        <v>0</v>
      </c>
      <c r="BN41" s="131">
        <f t="shared" ca="1" si="34"/>
        <v>0</v>
      </c>
      <c r="BO41" s="131">
        <f t="shared" ca="1" si="34"/>
        <v>0</v>
      </c>
      <c r="BP41" s="131">
        <f t="shared" ca="1" si="34"/>
        <v>29.599999999999998</v>
      </c>
      <c r="BQ41" s="131">
        <f t="shared" ca="1" si="34"/>
        <v>121.30000000000001</v>
      </c>
      <c r="BR41" s="131">
        <f t="shared" ca="1" si="34"/>
        <v>238.49999999999997</v>
      </c>
      <c r="BS41" s="131">
        <f t="shared" ca="1" si="34"/>
        <v>340.09999999999997</v>
      </c>
      <c r="BT41" s="131">
        <f t="shared" ca="1" si="34"/>
        <v>313.29999999999995</v>
      </c>
      <c r="BU41" s="131">
        <f t="shared" ca="1" si="34"/>
        <v>130.60000000000002</v>
      </c>
      <c r="BV41" s="131">
        <f t="shared" ca="1" si="34"/>
        <v>27</v>
      </c>
      <c r="BW41" s="131">
        <f t="shared" ca="1" si="34"/>
        <v>0.59999999999999964</v>
      </c>
      <c r="BX41" s="131">
        <f t="shared" ca="1" si="34"/>
        <v>0</v>
      </c>
      <c r="BZ41" s="127">
        <f t="shared" si="43"/>
        <v>2010</v>
      </c>
      <c r="CA41" s="131">
        <f t="shared" ca="1" si="35"/>
        <v>0</v>
      </c>
      <c r="CB41" s="131">
        <f t="shared" ca="1" si="35"/>
        <v>0</v>
      </c>
      <c r="CC41" s="131">
        <f t="shared" ca="1" si="35"/>
        <v>0.19999999999999929</v>
      </c>
      <c r="CD41" s="131">
        <f t="shared" ca="1" si="35"/>
        <v>49.199999999999989</v>
      </c>
      <c r="CE41" s="131">
        <f t="shared" ca="1" si="35"/>
        <v>165.9</v>
      </c>
      <c r="CF41" s="131">
        <f t="shared" ca="1" si="35"/>
        <v>298.5</v>
      </c>
      <c r="CG41" s="131">
        <f t="shared" ca="1" si="35"/>
        <v>402.1</v>
      </c>
      <c r="CH41" s="131">
        <f t="shared" ca="1" si="35"/>
        <v>375.3</v>
      </c>
      <c r="CI41" s="131">
        <f t="shared" ca="1" si="35"/>
        <v>187.20000000000002</v>
      </c>
      <c r="CJ41" s="131">
        <f t="shared" ca="1" si="35"/>
        <v>53.599999999999994</v>
      </c>
      <c r="CK41" s="131">
        <f t="shared" ca="1" si="35"/>
        <v>2.5999999999999996</v>
      </c>
      <c r="CL41" s="131">
        <f t="shared" ca="1" si="35"/>
        <v>0</v>
      </c>
      <c r="CN41" s="127">
        <f t="shared" si="44"/>
        <v>2010</v>
      </c>
      <c r="CO41" s="131">
        <f t="shared" ca="1" si="36"/>
        <v>0</v>
      </c>
      <c r="CP41" s="131">
        <f t="shared" ca="1" si="36"/>
        <v>0</v>
      </c>
      <c r="CQ41" s="131">
        <f t="shared" ca="1" si="36"/>
        <v>5.0999999999999996</v>
      </c>
      <c r="CR41" s="131">
        <f t="shared" ca="1" si="36"/>
        <v>80.5</v>
      </c>
      <c r="CS41" s="131">
        <f t="shared" ca="1" si="36"/>
        <v>216.9</v>
      </c>
      <c r="CT41" s="131">
        <f t="shared" ca="1" si="36"/>
        <v>358.5</v>
      </c>
      <c r="CU41" s="131">
        <f t="shared" ca="1" si="36"/>
        <v>464.1</v>
      </c>
      <c r="CV41" s="131">
        <f t="shared" ca="1" si="36"/>
        <v>437.3</v>
      </c>
      <c r="CW41" s="131">
        <f t="shared" ca="1" si="36"/>
        <v>247.09999999999997</v>
      </c>
      <c r="CX41" s="131">
        <f t="shared" ca="1" si="36"/>
        <v>94.7</v>
      </c>
      <c r="CY41" s="131">
        <f t="shared" ca="1" si="36"/>
        <v>4.5999999999999996</v>
      </c>
      <c r="CZ41" s="131">
        <f t="shared" ca="1" si="36"/>
        <v>0</v>
      </c>
      <c r="DB41" s="127">
        <f t="shared" si="45"/>
        <v>2010</v>
      </c>
      <c r="DC41" s="131">
        <f t="shared" ca="1" si="37"/>
        <v>0</v>
      </c>
      <c r="DD41" s="131">
        <f t="shared" ca="1" si="38"/>
        <v>0</v>
      </c>
      <c r="DE41" s="131">
        <f t="shared" ca="1" si="38"/>
        <v>16.8</v>
      </c>
      <c r="DF41" s="131">
        <f t="shared" ca="1" si="38"/>
        <v>125.20000000000002</v>
      </c>
      <c r="DG41" s="131">
        <f t="shared" ca="1" si="38"/>
        <v>269.10000000000002</v>
      </c>
      <c r="DH41" s="131">
        <f t="shared" ca="1" si="38"/>
        <v>418.5</v>
      </c>
      <c r="DI41" s="131">
        <f t="shared" ca="1" si="38"/>
        <v>526.1</v>
      </c>
      <c r="DJ41" s="131">
        <f t="shared" ca="1" si="38"/>
        <v>499.3</v>
      </c>
      <c r="DK41" s="131">
        <f t="shared" ca="1" si="38"/>
        <v>307.09999999999997</v>
      </c>
      <c r="DL41" s="131">
        <f t="shared" ca="1" si="38"/>
        <v>148.20000000000002</v>
      </c>
      <c r="DM41" s="131">
        <f t="shared" ca="1" si="38"/>
        <v>10.1</v>
      </c>
      <c r="DN41" s="131">
        <f t="shared" ca="1" si="38"/>
        <v>0</v>
      </c>
    </row>
    <row r="42" spans="1:118" x14ac:dyDescent="0.2">
      <c r="A42" s="127">
        <v>2004</v>
      </c>
      <c r="B42" s="130">
        <v>5</v>
      </c>
      <c r="C42" s="130">
        <v>15.629032258064518</v>
      </c>
      <c r="D42" s="131">
        <v>147.60000000000002</v>
      </c>
      <c r="E42" s="131">
        <v>12.099999999999998</v>
      </c>
      <c r="F42" s="131">
        <v>101.60000000000004</v>
      </c>
      <c r="G42" s="131">
        <v>28.099999999999998</v>
      </c>
      <c r="H42" s="131">
        <v>65.100000000000009</v>
      </c>
      <c r="I42" s="131">
        <v>53.599999999999994</v>
      </c>
      <c r="J42" s="131">
        <v>39.299999999999997</v>
      </c>
      <c r="K42" s="131">
        <v>89.799999999999983</v>
      </c>
      <c r="L42" s="131">
        <v>20.399999999999999</v>
      </c>
      <c r="M42" s="131">
        <v>132.89999999999998</v>
      </c>
      <c r="N42" s="131">
        <v>11.1</v>
      </c>
      <c r="O42" s="131">
        <v>185.6</v>
      </c>
      <c r="P42" s="131">
        <v>5.2</v>
      </c>
      <c r="Q42" s="131">
        <v>241.7</v>
      </c>
      <c r="R42" s="131"/>
      <c r="S42" s="131"/>
      <c r="T42" s="131"/>
      <c r="V42" s="127">
        <f t="shared" si="39"/>
        <v>2011</v>
      </c>
      <c r="W42" s="131">
        <f t="shared" ca="1" si="30"/>
        <v>0</v>
      </c>
      <c r="X42" s="131">
        <f t="shared" ca="1" si="31"/>
        <v>0</v>
      </c>
      <c r="Y42" s="131">
        <f t="shared" ca="1" si="31"/>
        <v>0</v>
      </c>
      <c r="Z42" s="131">
        <f t="shared" ca="1" si="31"/>
        <v>0</v>
      </c>
      <c r="AA42" s="131">
        <f t="shared" ca="1" si="31"/>
        <v>18.8</v>
      </c>
      <c r="AB42" s="131">
        <f t="shared" ca="1" si="31"/>
        <v>59.100000000000009</v>
      </c>
      <c r="AC42" s="131">
        <f t="shared" ca="1" si="31"/>
        <v>180.29999999999995</v>
      </c>
      <c r="AD42" s="131">
        <f t="shared" ca="1" si="31"/>
        <v>83.300000000000011</v>
      </c>
      <c r="AE42" s="131">
        <f t="shared" ca="1" si="31"/>
        <v>28.6</v>
      </c>
      <c r="AF42" s="131">
        <f t="shared" ca="1" si="31"/>
        <v>0</v>
      </c>
      <c r="AG42" s="131">
        <f t="shared" ca="1" si="31"/>
        <v>0</v>
      </c>
      <c r="AH42" s="131">
        <f t="shared" ca="1" si="31"/>
        <v>0</v>
      </c>
      <c r="AJ42" s="127">
        <f t="shared" si="40"/>
        <v>2011</v>
      </c>
      <c r="AK42" s="131">
        <f t="shared" ref="AK42:AV51" ca="1" si="46">OFFSET($G$2,(ROW()-32)*12+COLUMN()-37,0)</f>
        <v>0</v>
      </c>
      <c r="AL42" s="131">
        <f t="shared" ca="1" si="46"/>
        <v>0</v>
      </c>
      <c r="AM42" s="131">
        <f t="shared" ca="1" si="46"/>
        <v>0</v>
      </c>
      <c r="AN42" s="131">
        <f t="shared" ca="1" si="46"/>
        <v>0</v>
      </c>
      <c r="AO42" s="131">
        <f t="shared" ca="1" si="46"/>
        <v>33.4</v>
      </c>
      <c r="AP42" s="131">
        <f t="shared" ca="1" si="46"/>
        <v>104.80000000000001</v>
      </c>
      <c r="AQ42" s="131">
        <f t="shared" ca="1" si="46"/>
        <v>242.29999999999998</v>
      </c>
      <c r="AR42" s="131">
        <f t="shared" ca="1" si="46"/>
        <v>144.4</v>
      </c>
      <c r="AS42" s="131">
        <f t="shared" ca="1" si="46"/>
        <v>47.7</v>
      </c>
      <c r="AT42" s="131">
        <f t="shared" ca="1" si="46"/>
        <v>4.6000000000000014</v>
      </c>
      <c r="AU42" s="131">
        <f t="shared" ca="1" si="46"/>
        <v>0</v>
      </c>
      <c r="AV42" s="131">
        <f t="shared" ca="1" si="46"/>
        <v>0</v>
      </c>
      <c r="AW42" s="147">
        <f t="shared" ca="1" si="8"/>
        <v>577.20000000000005</v>
      </c>
      <c r="AX42" s="127">
        <f t="shared" si="41"/>
        <v>2011</v>
      </c>
      <c r="AY42" s="131">
        <f t="shared" ref="AY42:BJ51" ca="1" si="47">OFFSET($I$2,(ROW()-32)*12+COLUMN()-51,0)</f>
        <v>0</v>
      </c>
      <c r="AZ42" s="131">
        <f t="shared" ca="1" si="47"/>
        <v>0</v>
      </c>
      <c r="BA42" s="131">
        <f t="shared" ca="1" si="47"/>
        <v>0</v>
      </c>
      <c r="BB42" s="131">
        <f t="shared" ca="1" si="47"/>
        <v>1.6999999999999993</v>
      </c>
      <c r="BC42" s="131">
        <f t="shared" ca="1" si="47"/>
        <v>53.499999999999993</v>
      </c>
      <c r="BD42" s="131">
        <f t="shared" ca="1" si="47"/>
        <v>155.69999999999999</v>
      </c>
      <c r="BE42" s="131">
        <f t="shared" ca="1" si="47"/>
        <v>304.29999999999995</v>
      </c>
      <c r="BF42" s="131">
        <f t="shared" ca="1" si="47"/>
        <v>206.4</v>
      </c>
      <c r="BG42" s="131">
        <f t="shared" ca="1" si="47"/>
        <v>76.599999999999994</v>
      </c>
      <c r="BH42" s="131">
        <f t="shared" ca="1" si="47"/>
        <v>15.899999999999999</v>
      </c>
      <c r="BI42" s="131">
        <f t="shared" ca="1" si="47"/>
        <v>0</v>
      </c>
      <c r="BJ42" s="131">
        <f t="shared" ca="1" si="47"/>
        <v>0</v>
      </c>
      <c r="BL42" s="127">
        <f t="shared" si="42"/>
        <v>2011</v>
      </c>
      <c r="BM42" s="131">
        <f t="shared" ref="BM42:BX51" ca="1" si="48">OFFSET($K$2,(ROW()-32)*12+COLUMN()-65,0)</f>
        <v>0</v>
      </c>
      <c r="BN42" s="131">
        <f t="shared" ca="1" si="48"/>
        <v>0</v>
      </c>
      <c r="BO42" s="131">
        <f t="shared" ca="1" si="48"/>
        <v>0</v>
      </c>
      <c r="BP42" s="131">
        <f t="shared" ca="1" si="48"/>
        <v>8.6</v>
      </c>
      <c r="BQ42" s="131">
        <f t="shared" ca="1" si="48"/>
        <v>82.300000000000011</v>
      </c>
      <c r="BR42" s="131">
        <f t="shared" ca="1" si="48"/>
        <v>214.70000000000002</v>
      </c>
      <c r="BS42" s="131">
        <f t="shared" ca="1" si="48"/>
        <v>366.29999999999995</v>
      </c>
      <c r="BT42" s="131">
        <f t="shared" ca="1" si="48"/>
        <v>268.40000000000009</v>
      </c>
      <c r="BU42" s="131">
        <f t="shared" ca="1" si="48"/>
        <v>117.99999999999996</v>
      </c>
      <c r="BV42" s="131">
        <f t="shared" ca="1" si="48"/>
        <v>35.299999999999997</v>
      </c>
      <c r="BW42" s="131">
        <f t="shared" ca="1" si="48"/>
        <v>1.5</v>
      </c>
      <c r="BX42" s="131">
        <f t="shared" ca="1" si="48"/>
        <v>0</v>
      </c>
      <c r="BZ42" s="127">
        <f t="shared" si="43"/>
        <v>2011</v>
      </c>
      <c r="CA42" s="131">
        <f t="shared" ref="CA42:CL51" ca="1" si="49">OFFSET($M$2,(ROW()-32)*12+COLUMN()-79,0)</f>
        <v>0</v>
      </c>
      <c r="CB42" s="131">
        <f t="shared" ca="1" si="49"/>
        <v>0</v>
      </c>
      <c r="CC42" s="131">
        <f t="shared" ca="1" si="49"/>
        <v>0</v>
      </c>
      <c r="CD42" s="131">
        <f t="shared" ca="1" si="49"/>
        <v>18.600000000000001</v>
      </c>
      <c r="CE42" s="131">
        <f t="shared" ca="1" si="49"/>
        <v>126.30000000000001</v>
      </c>
      <c r="CF42" s="131">
        <f t="shared" ca="1" si="49"/>
        <v>274.7</v>
      </c>
      <c r="CG42" s="131">
        <f t="shared" ca="1" si="49"/>
        <v>428.29999999999995</v>
      </c>
      <c r="CH42" s="131">
        <f t="shared" ca="1" si="49"/>
        <v>330.40000000000003</v>
      </c>
      <c r="CI42" s="131">
        <f t="shared" ca="1" si="49"/>
        <v>171.59999999999997</v>
      </c>
      <c r="CJ42" s="131">
        <f t="shared" ca="1" si="49"/>
        <v>56.500000000000014</v>
      </c>
      <c r="CK42" s="131">
        <f t="shared" ca="1" si="49"/>
        <v>7.6999999999999993</v>
      </c>
      <c r="CL42" s="131">
        <f t="shared" ca="1" si="49"/>
        <v>0</v>
      </c>
      <c r="CN42" s="127">
        <f t="shared" si="44"/>
        <v>2011</v>
      </c>
      <c r="CO42" s="131">
        <f t="shared" ref="CO42:CZ51" ca="1" si="50">OFFSET($O$2,(ROW()-32)*12+COLUMN()-93,0)</f>
        <v>0</v>
      </c>
      <c r="CP42" s="131">
        <f t="shared" ca="1" si="50"/>
        <v>0</v>
      </c>
      <c r="CQ42" s="131">
        <f t="shared" ca="1" si="50"/>
        <v>2.2000000000000011</v>
      </c>
      <c r="CR42" s="131">
        <f t="shared" ca="1" si="50"/>
        <v>32.199999999999996</v>
      </c>
      <c r="CS42" s="131">
        <f t="shared" ca="1" si="50"/>
        <v>177.10000000000002</v>
      </c>
      <c r="CT42" s="131">
        <f t="shared" ca="1" si="50"/>
        <v>334.7</v>
      </c>
      <c r="CU42" s="131">
        <f t="shared" ca="1" si="50"/>
        <v>490.3</v>
      </c>
      <c r="CV42" s="131">
        <f t="shared" ca="1" si="50"/>
        <v>392.40000000000003</v>
      </c>
      <c r="CW42" s="131">
        <f t="shared" ca="1" si="50"/>
        <v>228.79999999999998</v>
      </c>
      <c r="CX42" s="131">
        <f t="shared" ca="1" si="50"/>
        <v>90.300000000000011</v>
      </c>
      <c r="CY42" s="131">
        <f t="shared" ca="1" si="50"/>
        <v>20.399999999999999</v>
      </c>
      <c r="CZ42" s="131">
        <f t="shared" ca="1" si="50"/>
        <v>0</v>
      </c>
      <c r="DB42" s="127">
        <f t="shared" si="45"/>
        <v>2011</v>
      </c>
      <c r="DC42" s="131">
        <f t="shared" ca="1" si="37"/>
        <v>0</v>
      </c>
      <c r="DD42" s="131">
        <f t="shared" ca="1" si="38"/>
        <v>0</v>
      </c>
      <c r="DE42" s="131">
        <f t="shared" ca="1" si="38"/>
        <v>6.6000000000000014</v>
      </c>
      <c r="DF42" s="131">
        <f t="shared" ca="1" si="38"/>
        <v>54.8</v>
      </c>
      <c r="DG42" s="131">
        <f t="shared" ca="1" si="38"/>
        <v>233.19999999999996</v>
      </c>
      <c r="DH42" s="131">
        <f t="shared" ca="1" si="38"/>
        <v>394.7</v>
      </c>
      <c r="DI42" s="131">
        <f t="shared" ca="1" si="38"/>
        <v>552.30000000000007</v>
      </c>
      <c r="DJ42" s="131">
        <f t="shared" ca="1" si="38"/>
        <v>454.4</v>
      </c>
      <c r="DK42" s="131">
        <f t="shared" ca="1" si="38"/>
        <v>288.40000000000003</v>
      </c>
      <c r="DL42" s="131">
        <f t="shared" ca="1" si="38"/>
        <v>135.9</v>
      </c>
      <c r="DM42" s="131">
        <f t="shared" ca="1" si="38"/>
        <v>41.599999999999994</v>
      </c>
      <c r="DN42" s="131">
        <f t="shared" ca="1" si="38"/>
        <v>0.19999999999999929</v>
      </c>
    </row>
    <row r="43" spans="1:118" x14ac:dyDescent="0.2">
      <c r="A43" s="127">
        <v>2004</v>
      </c>
      <c r="B43" s="130">
        <v>6</v>
      </c>
      <c r="C43" s="130">
        <v>19.353333333333332</v>
      </c>
      <c r="D43" s="131">
        <v>50.900000000000006</v>
      </c>
      <c r="E43" s="131">
        <v>31.499999999999996</v>
      </c>
      <c r="F43" s="131">
        <v>21.4</v>
      </c>
      <c r="G43" s="131">
        <v>61.999999999999993</v>
      </c>
      <c r="H43" s="131">
        <v>3.7000000000000011</v>
      </c>
      <c r="I43" s="131">
        <v>104.30000000000001</v>
      </c>
      <c r="J43" s="131">
        <v>0</v>
      </c>
      <c r="K43" s="131">
        <v>160.60000000000005</v>
      </c>
      <c r="L43" s="131">
        <v>0</v>
      </c>
      <c r="M43" s="131">
        <v>220.60000000000008</v>
      </c>
      <c r="N43" s="131">
        <v>0</v>
      </c>
      <c r="O43" s="131">
        <v>280.60000000000002</v>
      </c>
      <c r="P43" s="131">
        <v>0</v>
      </c>
      <c r="Q43" s="131">
        <v>340.6</v>
      </c>
      <c r="R43" s="131"/>
      <c r="S43" s="131"/>
      <c r="T43" s="131"/>
      <c r="V43" s="127">
        <f t="shared" si="39"/>
        <v>2012</v>
      </c>
      <c r="W43" s="131">
        <f t="shared" ca="1" si="30"/>
        <v>0</v>
      </c>
      <c r="X43" s="131">
        <f t="shared" ca="1" si="31"/>
        <v>0</v>
      </c>
      <c r="Y43" s="131">
        <f t="shared" ca="1" si="31"/>
        <v>0</v>
      </c>
      <c r="Z43" s="131">
        <f t="shared" ca="1" si="31"/>
        <v>0</v>
      </c>
      <c r="AA43" s="131">
        <f t="shared" ca="1" si="31"/>
        <v>28.100000000000005</v>
      </c>
      <c r="AB43" s="131">
        <f t="shared" ca="1" si="31"/>
        <v>90.300000000000011</v>
      </c>
      <c r="AC43" s="131">
        <f t="shared" ca="1" si="31"/>
        <v>155.80000000000001</v>
      </c>
      <c r="AD43" s="131">
        <f t="shared" ca="1" si="31"/>
        <v>75.399999999999991</v>
      </c>
      <c r="AE43" s="131">
        <f t="shared" ca="1" si="31"/>
        <v>28.599999999999998</v>
      </c>
      <c r="AF43" s="131">
        <f t="shared" ca="1" si="31"/>
        <v>0</v>
      </c>
      <c r="AG43" s="131">
        <f t="shared" ca="1" si="31"/>
        <v>0</v>
      </c>
      <c r="AH43" s="131">
        <f t="shared" ca="1" si="31"/>
        <v>0</v>
      </c>
      <c r="AJ43" s="127">
        <f t="shared" si="40"/>
        <v>2012</v>
      </c>
      <c r="AK43" s="131">
        <f t="shared" ca="1" si="46"/>
        <v>0</v>
      </c>
      <c r="AL43" s="131">
        <f t="shared" ca="1" si="46"/>
        <v>0</v>
      </c>
      <c r="AM43" s="131">
        <f t="shared" ca="1" si="46"/>
        <v>5.8999999999999986</v>
      </c>
      <c r="AN43" s="131">
        <f t="shared" ca="1" si="46"/>
        <v>0.89999999999999858</v>
      </c>
      <c r="AO43" s="131">
        <f t="shared" ca="1" si="46"/>
        <v>51.7</v>
      </c>
      <c r="AP43" s="131">
        <f t="shared" ca="1" si="46"/>
        <v>135.29999999999998</v>
      </c>
      <c r="AQ43" s="131">
        <f t="shared" ca="1" si="46"/>
        <v>217.80000000000007</v>
      </c>
      <c r="AR43" s="131">
        <f t="shared" ca="1" si="46"/>
        <v>131.79999999999998</v>
      </c>
      <c r="AS43" s="131">
        <f t="shared" ca="1" si="46"/>
        <v>49.099999999999994</v>
      </c>
      <c r="AT43" s="131">
        <f t="shared" ca="1" si="46"/>
        <v>4.1000000000000014</v>
      </c>
      <c r="AU43" s="131">
        <f t="shared" ca="1" si="46"/>
        <v>0</v>
      </c>
      <c r="AV43" s="131">
        <f t="shared" ca="1" si="46"/>
        <v>0</v>
      </c>
      <c r="AW43" s="147">
        <f t="shared" ca="1" si="8"/>
        <v>596.6</v>
      </c>
      <c r="AX43" s="127">
        <f t="shared" si="41"/>
        <v>2012</v>
      </c>
      <c r="AY43" s="131">
        <f t="shared" ca="1" si="47"/>
        <v>0</v>
      </c>
      <c r="AZ43" s="131">
        <f t="shared" ca="1" si="47"/>
        <v>0</v>
      </c>
      <c r="BA43" s="131">
        <f ca="1">OFFSET($I$2,(ROW()-32)*12+COLUMN()-51,0)</f>
        <v>15.7</v>
      </c>
      <c r="BB43" s="131">
        <f t="shared" ca="1" si="47"/>
        <v>2.8999999999999986</v>
      </c>
      <c r="BC43" s="131">
        <f t="shared" ca="1" si="47"/>
        <v>86.6</v>
      </c>
      <c r="BD43" s="131">
        <f t="shared" ca="1" si="47"/>
        <v>185.79999999999998</v>
      </c>
      <c r="BE43" s="131">
        <f t="shared" ca="1" si="47"/>
        <v>279.8</v>
      </c>
      <c r="BF43" s="131">
        <f t="shared" ca="1" si="47"/>
        <v>193.19999999999996</v>
      </c>
      <c r="BG43" s="131">
        <f t="shared" ca="1" si="47"/>
        <v>79.5</v>
      </c>
      <c r="BH43" s="131">
        <f t="shared" ca="1" si="47"/>
        <v>16.000000000000004</v>
      </c>
      <c r="BI43" s="131">
        <f t="shared" ca="1" si="47"/>
        <v>0</v>
      </c>
      <c r="BJ43" s="131">
        <f t="shared" ca="1" si="47"/>
        <v>0</v>
      </c>
      <c r="BL43" s="127">
        <f t="shared" si="42"/>
        <v>2012</v>
      </c>
      <c r="BM43" s="131">
        <f t="shared" ca="1" si="48"/>
        <v>0</v>
      </c>
      <c r="BN43" s="131">
        <f t="shared" ca="1" si="48"/>
        <v>0</v>
      </c>
      <c r="BO43" s="131">
        <f t="shared" ca="1" si="48"/>
        <v>33.5</v>
      </c>
      <c r="BP43" s="131">
        <f t="shared" ca="1" si="48"/>
        <v>8.1999999999999993</v>
      </c>
      <c r="BQ43" s="131">
        <f t="shared" ca="1" si="48"/>
        <v>132</v>
      </c>
      <c r="BR43" s="131">
        <f t="shared" ca="1" si="48"/>
        <v>243.4</v>
      </c>
      <c r="BS43" s="131">
        <f t="shared" ca="1" si="48"/>
        <v>341.8</v>
      </c>
      <c r="BT43" s="131">
        <f t="shared" ca="1" si="48"/>
        <v>255.19999999999996</v>
      </c>
      <c r="BU43" s="131">
        <f t="shared" ca="1" si="48"/>
        <v>121.79999999999997</v>
      </c>
      <c r="BV43" s="131">
        <f t="shared" ca="1" si="48"/>
        <v>32</v>
      </c>
      <c r="BW43" s="131">
        <f t="shared" ca="1" si="48"/>
        <v>0.59999999999999964</v>
      </c>
      <c r="BX43" s="131">
        <f t="shared" ca="1" si="48"/>
        <v>0</v>
      </c>
      <c r="BZ43" s="127">
        <f t="shared" si="43"/>
        <v>2012</v>
      </c>
      <c r="CA43" s="131">
        <f t="shared" ca="1" si="49"/>
        <v>0</v>
      </c>
      <c r="CB43" s="131">
        <f t="shared" ca="1" si="49"/>
        <v>0</v>
      </c>
      <c r="CC43" s="131">
        <f t="shared" ca="1" si="49"/>
        <v>57.099999999999994</v>
      </c>
      <c r="CD43" s="131">
        <f t="shared" ca="1" si="49"/>
        <v>16.2</v>
      </c>
      <c r="CE43" s="131">
        <f t="shared" ca="1" si="49"/>
        <v>187.30000000000004</v>
      </c>
      <c r="CF43" s="131">
        <f t="shared" ca="1" si="49"/>
        <v>303.40000000000003</v>
      </c>
      <c r="CG43" s="131">
        <f t="shared" ca="1" si="49"/>
        <v>403.79999999999995</v>
      </c>
      <c r="CH43" s="131">
        <f t="shared" ca="1" si="49"/>
        <v>317.2</v>
      </c>
      <c r="CI43" s="131">
        <f t="shared" ca="1" si="49"/>
        <v>171.50000000000006</v>
      </c>
      <c r="CJ43" s="131">
        <f t="shared" ca="1" si="49"/>
        <v>54.7</v>
      </c>
      <c r="CK43" s="131">
        <f t="shared" ca="1" si="49"/>
        <v>2.5999999999999996</v>
      </c>
      <c r="CL43" s="131">
        <f t="shared" ca="1" si="49"/>
        <v>0</v>
      </c>
      <c r="CN43" s="127">
        <f t="shared" si="44"/>
        <v>2012</v>
      </c>
      <c r="CO43" s="131">
        <f t="shared" ca="1" si="50"/>
        <v>0</v>
      </c>
      <c r="CP43" s="131">
        <f t="shared" ca="1" si="50"/>
        <v>0</v>
      </c>
      <c r="CQ43" s="131">
        <f t="shared" ca="1" si="50"/>
        <v>87.999999999999986</v>
      </c>
      <c r="CR43" s="131">
        <f t="shared" ca="1" si="50"/>
        <v>28.999999999999996</v>
      </c>
      <c r="CS43" s="131">
        <f t="shared" ca="1" si="50"/>
        <v>249.30000000000007</v>
      </c>
      <c r="CT43" s="131">
        <f t="shared" ca="1" si="50"/>
        <v>363.4</v>
      </c>
      <c r="CU43" s="131">
        <f t="shared" ca="1" si="50"/>
        <v>465.79999999999995</v>
      </c>
      <c r="CV43" s="131">
        <f t="shared" ca="1" si="50"/>
        <v>379.2</v>
      </c>
      <c r="CW43" s="131">
        <f t="shared" ca="1" si="50"/>
        <v>229.50000000000006</v>
      </c>
      <c r="CX43" s="131">
        <f t="shared" ca="1" si="50"/>
        <v>83.7</v>
      </c>
      <c r="CY43" s="131">
        <f t="shared" ca="1" si="50"/>
        <v>6.1999999999999993</v>
      </c>
      <c r="CZ43" s="131">
        <f t="shared" ca="1" si="50"/>
        <v>1.3000000000000007</v>
      </c>
      <c r="DB43" s="127">
        <f t="shared" si="45"/>
        <v>2012</v>
      </c>
      <c r="DC43" s="131">
        <f t="shared" ca="1" si="37"/>
        <v>0</v>
      </c>
      <c r="DD43" s="131">
        <f t="shared" ca="1" si="38"/>
        <v>0</v>
      </c>
      <c r="DE43" s="131">
        <f t="shared" ca="1" si="38"/>
        <v>121.39999999999999</v>
      </c>
      <c r="DF43" s="131">
        <f t="shared" ca="1" si="38"/>
        <v>57.399999999999991</v>
      </c>
      <c r="DG43" s="131">
        <f t="shared" ca="1" si="38"/>
        <v>311.30000000000007</v>
      </c>
      <c r="DH43" s="131">
        <f t="shared" ca="1" si="38"/>
        <v>423.4</v>
      </c>
      <c r="DI43" s="131">
        <f t="shared" ca="1" si="38"/>
        <v>527.79999999999995</v>
      </c>
      <c r="DJ43" s="131">
        <f t="shared" ca="1" si="38"/>
        <v>441.19999999999993</v>
      </c>
      <c r="DK43" s="131">
        <f t="shared" ca="1" si="38"/>
        <v>289.50000000000011</v>
      </c>
      <c r="DL43" s="131">
        <f t="shared" ca="1" si="38"/>
        <v>123.60000000000001</v>
      </c>
      <c r="DM43" s="131">
        <f t="shared" ca="1" si="38"/>
        <v>12.7</v>
      </c>
      <c r="DN43" s="131">
        <f t="shared" ca="1" si="38"/>
        <v>9.0000000000000018</v>
      </c>
    </row>
    <row r="44" spans="1:118" x14ac:dyDescent="0.2">
      <c r="A44" s="127">
        <v>2004</v>
      </c>
      <c r="B44" s="130">
        <v>7</v>
      </c>
      <c r="C44" s="130">
        <v>21.877419354838707</v>
      </c>
      <c r="D44" s="131">
        <v>12.099999999999998</v>
      </c>
      <c r="E44" s="131">
        <v>70.3</v>
      </c>
      <c r="F44" s="131">
        <v>2.1999999999999993</v>
      </c>
      <c r="G44" s="131">
        <v>122.39999999999999</v>
      </c>
      <c r="H44" s="131">
        <v>0</v>
      </c>
      <c r="I44" s="131">
        <v>182.20000000000002</v>
      </c>
      <c r="J44" s="131">
        <v>0</v>
      </c>
      <c r="K44" s="131">
        <v>244.20000000000002</v>
      </c>
      <c r="L44" s="131">
        <v>0</v>
      </c>
      <c r="M44" s="131">
        <v>306.2</v>
      </c>
      <c r="N44" s="131">
        <v>0</v>
      </c>
      <c r="O44" s="131">
        <v>368.20000000000005</v>
      </c>
      <c r="P44" s="131">
        <v>0</v>
      </c>
      <c r="Q44" s="131">
        <v>430.2</v>
      </c>
      <c r="R44" s="131"/>
      <c r="S44" s="131"/>
      <c r="T44" s="131"/>
      <c r="V44" s="127">
        <f t="shared" si="39"/>
        <v>2013</v>
      </c>
      <c r="W44" s="131">
        <f t="shared" ca="1" si="30"/>
        <v>0</v>
      </c>
      <c r="X44" s="131">
        <f t="shared" ca="1" si="31"/>
        <v>0</v>
      </c>
      <c r="Y44" s="131">
        <f t="shared" ca="1" si="31"/>
        <v>0</v>
      </c>
      <c r="Z44" s="131">
        <f t="shared" ca="1" si="31"/>
        <v>0</v>
      </c>
      <c r="AA44" s="131">
        <f t="shared" ca="1" si="31"/>
        <v>28.599999999999998</v>
      </c>
      <c r="AB44" s="131">
        <f t="shared" ca="1" si="31"/>
        <v>49.099999999999994</v>
      </c>
      <c r="AC44" s="131">
        <f t="shared" ca="1" si="31"/>
        <v>98.200000000000017</v>
      </c>
      <c r="AD44" s="131">
        <f t="shared" ca="1" si="31"/>
        <v>64.100000000000009</v>
      </c>
      <c r="AE44" s="131">
        <f t="shared" ca="1" si="31"/>
        <v>26.299999999999997</v>
      </c>
      <c r="AF44" s="131">
        <f t="shared" ca="1" si="31"/>
        <v>3.8000000000000007</v>
      </c>
      <c r="AG44" s="131">
        <f t="shared" ca="1" si="31"/>
        <v>0</v>
      </c>
      <c r="AH44" s="131">
        <f t="shared" ca="1" si="31"/>
        <v>0</v>
      </c>
      <c r="AJ44" s="127">
        <f t="shared" si="40"/>
        <v>2013</v>
      </c>
      <c r="AK44" s="131">
        <f t="shared" ca="1" si="46"/>
        <v>0</v>
      </c>
      <c r="AL44" s="131">
        <f t="shared" ca="1" si="46"/>
        <v>0</v>
      </c>
      <c r="AM44" s="131">
        <f t="shared" ca="1" si="46"/>
        <v>0</v>
      </c>
      <c r="AN44" s="131">
        <f t="shared" ca="1" si="46"/>
        <v>0</v>
      </c>
      <c r="AO44" s="131">
        <f t="shared" ca="1" si="46"/>
        <v>51.2</v>
      </c>
      <c r="AP44" s="131">
        <f t="shared" ca="1" si="46"/>
        <v>85.700000000000017</v>
      </c>
      <c r="AQ44" s="131">
        <f t="shared" ca="1" si="46"/>
        <v>148.79999999999995</v>
      </c>
      <c r="AR44" s="131">
        <f t="shared" ca="1" si="46"/>
        <v>115.29999999999998</v>
      </c>
      <c r="AS44" s="131">
        <f t="shared" ca="1" si="46"/>
        <v>46.099999999999994</v>
      </c>
      <c r="AT44" s="131">
        <f t="shared" ca="1" si="46"/>
        <v>12.599999999999998</v>
      </c>
      <c r="AU44" s="131">
        <f t="shared" ca="1" si="46"/>
        <v>0</v>
      </c>
      <c r="AV44" s="131">
        <f t="shared" ca="1" si="46"/>
        <v>0</v>
      </c>
      <c r="AW44" s="147">
        <f t="shared" ca="1" si="8"/>
        <v>459.70000000000005</v>
      </c>
      <c r="AX44" s="127">
        <f t="shared" si="41"/>
        <v>2013</v>
      </c>
      <c r="AY44" s="131">
        <f t="shared" ca="1" si="47"/>
        <v>0</v>
      </c>
      <c r="AZ44" s="131">
        <f t="shared" ca="1" si="47"/>
        <v>0</v>
      </c>
      <c r="BA44" s="131">
        <f t="shared" ca="1" si="47"/>
        <v>0</v>
      </c>
      <c r="BB44" s="131">
        <f t="shared" ca="1" si="47"/>
        <v>0.80000000000000071</v>
      </c>
      <c r="BC44" s="131">
        <f t="shared" ca="1" si="47"/>
        <v>84.7</v>
      </c>
      <c r="BD44" s="131">
        <f t="shared" ca="1" si="47"/>
        <v>133.49999999999997</v>
      </c>
      <c r="BE44" s="131">
        <f t="shared" ca="1" si="47"/>
        <v>208.19999999999993</v>
      </c>
      <c r="BF44" s="131">
        <f t="shared" ca="1" si="47"/>
        <v>173.40000000000003</v>
      </c>
      <c r="BG44" s="131">
        <f t="shared" ca="1" si="47"/>
        <v>78.100000000000009</v>
      </c>
      <c r="BH44" s="131">
        <f t="shared" ca="1" si="47"/>
        <v>26.599999999999998</v>
      </c>
      <c r="BI44" s="131">
        <f t="shared" ca="1" si="47"/>
        <v>0</v>
      </c>
      <c r="BJ44" s="131">
        <f t="shared" ca="1" si="47"/>
        <v>0</v>
      </c>
      <c r="BL44" s="127">
        <f t="shared" si="42"/>
        <v>2013</v>
      </c>
      <c r="BM44" s="131">
        <f t="shared" ca="1" si="48"/>
        <v>0</v>
      </c>
      <c r="BN44" s="131">
        <f t="shared" ca="1" si="48"/>
        <v>0</v>
      </c>
      <c r="BO44" s="131">
        <f t="shared" ca="1" si="48"/>
        <v>0</v>
      </c>
      <c r="BP44" s="131">
        <f t="shared" ca="1" si="48"/>
        <v>6.3000000000000007</v>
      </c>
      <c r="BQ44" s="131">
        <f t="shared" ca="1" si="48"/>
        <v>126</v>
      </c>
      <c r="BR44" s="131">
        <f t="shared" ca="1" si="48"/>
        <v>187.9</v>
      </c>
      <c r="BS44" s="131">
        <f t="shared" ca="1" si="48"/>
        <v>270.2</v>
      </c>
      <c r="BT44" s="131">
        <f t="shared" ca="1" si="48"/>
        <v>235.4</v>
      </c>
      <c r="BU44" s="131">
        <f t="shared" ca="1" si="48"/>
        <v>121.49999999999999</v>
      </c>
      <c r="BV44" s="131">
        <f t="shared" ca="1" si="48"/>
        <v>45.599999999999994</v>
      </c>
      <c r="BW44" s="131">
        <f t="shared" ca="1" si="48"/>
        <v>0</v>
      </c>
      <c r="BX44" s="131">
        <f t="shared" ca="1" si="48"/>
        <v>0</v>
      </c>
      <c r="BZ44" s="127">
        <f t="shared" si="43"/>
        <v>2013</v>
      </c>
      <c r="CA44" s="131">
        <f t="shared" ca="1" si="49"/>
        <v>0</v>
      </c>
      <c r="CB44" s="131">
        <f t="shared" ca="1" si="49"/>
        <v>0</v>
      </c>
      <c r="CC44" s="131">
        <f t="shared" ca="1" si="49"/>
        <v>0</v>
      </c>
      <c r="CD44" s="131">
        <f t="shared" ca="1" si="49"/>
        <v>13.5</v>
      </c>
      <c r="CE44" s="131">
        <f t="shared" ca="1" si="49"/>
        <v>173</v>
      </c>
      <c r="CF44" s="131">
        <f t="shared" ca="1" si="49"/>
        <v>247.50000000000003</v>
      </c>
      <c r="CG44" s="131">
        <f t="shared" ca="1" si="49"/>
        <v>332.20000000000005</v>
      </c>
      <c r="CH44" s="131">
        <f t="shared" ca="1" si="49"/>
        <v>297.40000000000003</v>
      </c>
      <c r="CI44" s="131">
        <f t="shared" ca="1" si="49"/>
        <v>172.39999999999998</v>
      </c>
      <c r="CJ44" s="131">
        <f t="shared" ca="1" si="49"/>
        <v>73.699999999999989</v>
      </c>
      <c r="CK44" s="131">
        <f t="shared" ca="1" si="49"/>
        <v>1.3000000000000007</v>
      </c>
      <c r="CL44" s="131">
        <f t="shared" ca="1" si="49"/>
        <v>0</v>
      </c>
      <c r="CN44" s="127">
        <f t="shared" si="44"/>
        <v>2013</v>
      </c>
      <c r="CO44" s="131">
        <f t="shared" ca="1" si="50"/>
        <v>0.59999999999999964</v>
      </c>
      <c r="CP44" s="131">
        <f t="shared" ca="1" si="50"/>
        <v>0</v>
      </c>
      <c r="CQ44" s="131">
        <f t="shared" ca="1" si="50"/>
        <v>0</v>
      </c>
      <c r="CR44" s="131">
        <f t="shared" ca="1" si="50"/>
        <v>26.8</v>
      </c>
      <c r="CS44" s="131">
        <f t="shared" ca="1" si="50"/>
        <v>225</v>
      </c>
      <c r="CT44" s="131">
        <f t="shared" ca="1" si="50"/>
        <v>307.50000000000006</v>
      </c>
      <c r="CU44" s="131">
        <f t="shared" ca="1" si="50"/>
        <v>394.2</v>
      </c>
      <c r="CV44" s="131">
        <f t="shared" ca="1" si="50"/>
        <v>359.40000000000003</v>
      </c>
      <c r="CW44" s="131">
        <f t="shared" ca="1" si="50"/>
        <v>232.39999999999998</v>
      </c>
      <c r="CX44" s="131">
        <f t="shared" ca="1" si="50"/>
        <v>109.99999999999999</v>
      </c>
      <c r="CY44" s="131">
        <f t="shared" ca="1" si="50"/>
        <v>5.9</v>
      </c>
      <c r="CZ44" s="131">
        <f t="shared" ca="1" si="50"/>
        <v>0.30000000000000071</v>
      </c>
      <c r="DB44" s="127">
        <f t="shared" si="45"/>
        <v>2013</v>
      </c>
      <c r="DC44" s="131">
        <f t="shared" ca="1" si="37"/>
        <v>3.2999999999999989</v>
      </c>
      <c r="DD44" s="131">
        <f t="shared" ca="1" si="38"/>
        <v>0</v>
      </c>
      <c r="DE44" s="131">
        <f t="shared" ca="1" si="38"/>
        <v>3.0999999999999996</v>
      </c>
      <c r="DF44" s="131">
        <f t="shared" ca="1" si="38"/>
        <v>48.600000000000009</v>
      </c>
      <c r="DG44" s="131">
        <f t="shared" ca="1" si="38"/>
        <v>280.89999999999998</v>
      </c>
      <c r="DH44" s="131">
        <f t="shared" ca="1" si="38"/>
        <v>367.50000000000011</v>
      </c>
      <c r="DI44" s="131">
        <f t="shared" ca="1" si="38"/>
        <v>456.2</v>
      </c>
      <c r="DJ44" s="131">
        <f t="shared" ca="1" si="38"/>
        <v>421.40000000000003</v>
      </c>
      <c r="DK44" s="131">
        <f t="shared" ca="1" si="38"/>
        <v>292.39999999999998</v>
      </c>
      <c r="DL44" s="131">
        <f t="shared" ca="1" si="38"/>
        <v>153.69999999999996</v>
      </c>
      <c r="DM44" s="131">
        <f t="shared" ca="1" si="38"/>
        <v>14.8</v>
      </c>
      <c r="DN44" s="131">
        <f t="shared" ca="1" si="38"/>
        <v>3.3000000000000007</v>
      </c>
    </row>
    <row r="45" spans="1:118" x14ac:dyDescent="0.2">
      <c r="A45" s="127">
        <v>2004</v>
      </c>
      <c r="B45" s="130">
        <v>8</v>
      </c>
      <c r="C45" s="130">
        <v>20.196774193548393</v>
      </c>
      <c r="D45" s="131">
        <v>34.600000000000009</v>
      </c>
      <c r="E45" s="131">
        <v>40.700000000000003</v>
      </c>
      <c r="F45" s="131">
        <v>6.0999999999999979</v>
      </c>
      <c r="G45" s="131">
        <v>74.199999999999974</v>
      </c>
      <c r="H45" s="131">
        <v>0</v>
      </c>
      <c r="I45" s="131">
        <v>130.1</v>
      </c>
      <c r="J45" s="131">
        <v>0</v>
      </c>
      <c r="K45" s="131">
        <v>192.10000000000002</v>
      </c>
      <c r="L45" s="131">
        <v>0</v>
      </c>
      <c r="M45" s="131">
        <v>254.10000000000002</v>
      </c>
      <c r="N45" s="131">
        <v>0</v>
      </c>
      <c r="O45" s="131">
        <v>316.09999999999997</v>
      </c>
      <c r="P45" s="131">
        <v>0</v>
      </c>
      <c r="Q45" s="131">
        <v>378.09999999999991</v>
      </c>
      <c r="R45" s="131"/>
      <c r="S45" s="131"/>
      <c r="T45" s="131"/>
      <c r="V45" s="127">
        <f t="shared" si="39"/>
        <v>2014</v>
      </c>
      <c r="W45" s="131">
        <f t="shared" ca="1" si="30"/>
        <v>0</v>
      </c>
      <c r="X45" s="131">
        <f t="shared" ca="1" si="31"/>
        <v>0</v>
      </c>
      <c r="Y45" s="131">
        <f t="shared" ca="1" si="31"/>
        <v>0</v>
      </c>
      <c r="Z45" s="131">
        <f t="shared" ca="1" si="31"/>
        <v>0</v>
      </c>
      <c r="AA45" s="131">
        <f t="shared" ca="1" si="31"/>
        <v>10.299999999999997</v>
      </c>
      <c r="AB45" s="131">
        <f t="shared" ca="1" si="31"/>
        <v>59.999999999999986</v>
      </c>
      <c r="AC45" s="131">
        <f t="shared" ca="1" si="31"/>
        <v>42.400000000000006</v>
      </c>
      <c r="AD45" s="131">
        <f t="shared" ca="1" si="31"/>
        <v>43.500000000000007</v>
      </c>
      <c r="AE45" s="131">
        <f t="shared" ca="1" si="31"/>
        <v>15.299999999999997</v>
      </c>
      <c r="AF45" s="131">
        <f t="shared" ca="1" si="31"/>
        <v>0</v>
      </c>
      <c r="AG45" s="131">
        <f t="shared" ca="1" si="31"/>
        <v>0</v>
      </c>
      <c r="AH45" s="131">
        <f t="shared" ca="1" si="31"/>
        <v>0</v>
      </c>
      <c r="AJ45" s="127">
        <f t="shared" si="40"/>
        <v>2014</v>
      </c>
      <c r="AK45" s="131">
        <f t="shared" ca="1" si="46"/>
        <v>0</v>
      </c>
      <c r="AL45" s="131">
        <f t="shared" ca="1" si="46"/>
        <v>0</v>
      </c>
      <c r="AM45" s="131">
        <f t="shared" ca="1" si="46"/>
        <v>0</v>
      </c>
      <c r="AN45" s="131">
        <f t="shared" ca="1" si="46"/>
        <v>0</v>
      </c>
      <c r="AO45" s="131">
        <f t="shared" ca="1" si="46"/>
        <v>26.7</v>
      </c>
      <c r="AP45" s="131">
        <f t="shared" ca="1" si="46"/>
        <v>105.49999999999999</v>
      </c>
      <c r="AQ45" s="131">
        <f t="shared" ca="1" si="46"/>
        <v>84.5</v>
      </c>
      <c r="AR45" s="131">
        <f t="shared" ca="1" si="46"/>
        <v>95.799999999999983</v>
      </c>
      <c r="AS45" s="131">
        <f t="shared" ca="1" si="46"/>
        <v>29.799999999999997</v>
      </c>
      <c r="AT45" s="131">
        <f t="shared" ca="1" si="46"/>
        <v>0</v>
      </c>
      <c r="AU45" s="131">
        <f t="shared" ca="1" si="46"/>
        <v>0</v>
      </c>
      <c r="AV45" s="131">
        <f t="shared" ca="1" si="46"/>
        <v>0</v>
      </c>
      <c r="AW45" s="147">
        <f t="shared" ca="1" si="8"/>
        <v>342.3</v>
      </c>
      <c r="AX45" s="127">
        <f t="shared" si="41"/>
        <v>2014</v>
      </c>
      <c r="AY45" s="131">
        <f t="shared" ca="1" si="47"/>
        <v>0</v>
      </c>
      <c r="AZ45" s="131">
        <f t="shared" ca="1" si="47"/>
        <v>0</v>
      </c>
      <c r="BA45" s="131">
        <f t="shared" ca="1" si="47"/>
        <v>0</v>
      </c>
      <c r="BB45" s="131">
        <f t="shared" ca="1" si="47"/>
        <v>0.30000000000000071</v>
      </c>
      <c r="BC45" s="131">
        <f t="shared" ca="1" si="47"/>
        <v>53.099999999999994</v>
      </c>
      <c r="BD45" s="131">
        <f t="shared" ca="1" si="47"/>
        <v>160.5</v>
      </c>
      <c r="BE45" s="131">
        <f t="shared" ca="1" si="47"/>
        <v>142.1</v>
      </c>
      <c r="BF45" s="131">
        <f t="shared" ca="1" si="47"/>
        <v>154</v>
      </c>
      <c r="BG45" s="131">
        <f t="shared" ca="1" si="47"/>
        <v>54.7</v>
      </c>
      <c r="BH45" s="131">
        <f t="shared" ca="1" si="47"/>
        <v>2.6999999999999993</v>
      </c>
      <c r="BI45" s="131">
        <f t="shared" ca="1" si="47"/>
        <v>0</v>
      </c>
      <c r="BJ45" s="131">
        <f t="shared" ca="1" si="47"/>
        <v>0</v>
      </c>
      <c r="BL45" s="127">
        <f t="shared" si="42"/>
        <v>2014</v>
      </c>
      <c r="BM45" s="131">
        <f t="shared" ca="1" si="48"/>
        <v>0</v>
      </c>
      <c r="BN45" s="131">
        <f t="shared" ca="1" si="48"/>
        <v>0</v>
      </c>
      <c r="BO45" s="131">
        <f t="shared" ca="1" si="48"/>
        <v>0</v>
      </c>
      <c r="BP45" s="131">
        <f t="shared" ca="1" si="48"/>
        <v>4.6000000000000014</v>
      </c>
      <c r="BQ45" s="131">
        <f t="shared" ca="1" si="48"/>
        <v>88.8</v>
      </c>
      <c r="BR45" s="131">
        <f t="shared" ca="1" si="48"/>
        <v>220.5</v>
      </c>
      <c r="BS45" s="131">
        <f t="shared" ca="1" si="48"/>
        <v>204.1</v>
      </c>
      <c r="BT45" s="131">
        <f t="shared" ca="1" si="48"/>
        <v>216.00000000000003</v>
      </c>
      <c r="BU45" s="131">
        <f t="shared" ca="1" si="48"/>
        <v>92.5</v>
      </c>
      <c r="BV45" s="131">
        <f t="shared" ca="1" si="48"/>
        <v>12.499999999999998</v>
      </c>
      <c r="BW45" s="131">
        <f t="shared" ca="1" si="48"/>
        <v>0</v>
      </c>
      <c r="BX45" s="131">
        <f t="shared" ca="1" si="48"/>
        <v>0</v>
      </c>
      <c r="BZ45" s="127">
        <f t="shared" si="43"/>
        <v>2014</v>
      </c>
      <c r="CA45" s="131">
        <f t="shared" ca="1" si="49"/>
        <v>0</v>
      </c>
      <c r="CB45" s="131">
        <f t="shared" ca="1" si="49"/>
        <v>0</v>
      </c>
      <c r="CC45" s="131">
        <f t="shared" ca="1" si="49"/>
        <v>0</v>
      </c>
      <c r="CD45" s="131">
        <f t="shared" ca="1" si="49"/>
        <v>14.800000000000002</v>
      </c>
      <c r="CE45" s="131">
        <f t="shared" ca="1" si="49"/>
        <v>128.69999999999999</v>
      </c>
      <c r="CF45" s="131">
        <f t="shared" ca="1" si="49"/>
        <v>280.50000000000006</v>
      </c>
      <c r="CG45" s="131">
        <f t="shared" ca="1" si="49"/>
        <v>266.09999999999997</v>
      </c>
      <c r="CH45" s="131">
        <f t="shared" ca="1" si="49"/>
        <v>278.00000000000006</v>
      </c>
      <c r="CI45" s="131">
        <f t="shared" ca="1" si="49"/>
        <v>138.6</v>
      </c>
      <c r="CJ45" s="131">
        <f t="shared" ca="1" si="49"/>
        <v>32.199999999999996</v>
      </c>
      <c r="CK45" s="131">
        <f t="shared" ca="1" si="49"/>
        <v>0</v>
      </c>
      <c r="CL45" s="131">
        <f t="shared" ca="1" si="49"/>
        <v>0</v>
      </c>
      <c r="CN45" s="127">
        <f t="shared" si="44"/>
        <v>2014</v>
      </c>
      <c r="CO45" s="131">
        <f t="shared" ca="1" si="50"/>
        <v>0</v>
      </c>
      <c r="CP45" s="131">
        <f t="shared" ca="1" si="50"/>
        <v>0</v>
      </c>
      <c r="CQ45" s="131">
        <f t="shared" ca="1" si="50"/>
        <v>0</v>
      </c>
      <c r="CR45" s="131">
        <f t="shared" ca="1" si="50"/>
        <v>31.200000000000003</v>
      </c>
      <c r="CS45" s="131">
        <f t="shared" ca="1" si="50"/>
        <v>176.6</v>
      </c>
      <c r="CT45" s="131">
        <f t="shared" ca="1" si="50"/>
        <v>340.5</v>
      </c>
      <c r="CU45" s="131">
        <f t="shared" ca="1" si="50"/>
        <v>328.09999999999997</v>
      </c>
      <c r="CV45" s="131">
        <f t="shared" ca="1" si="50"/>
        <v>340</v>
      </c>
      <c r="CW45" s="131">
        <f t="shared" ca="1" si="50"/>
        <v>193.3</v>
      </c>
      <c r="CX45" s="131">
        <f t="shared" ca="1" si="50"/>
        <v>58.400000000000006</v>
      </c>
      <c r="CY45" s="131">
        <f t="shared" ca="1" si="50"/>
        <v>0.59999999999999964</v>
      </c>
      <c r="CZ45" s="131">
        <f t="shared" ca="1" si="50"/>
        <v>0</v>
      </c>
      <c r="DB45" s="127">
        <f t="shared" si="45"/>
        <v>2014</v>
      </c>
      <c r="DC45" s="131">
        <f t="shared" ca="1" si="37"/>
        <v>0</v>
      </c>
      <c r="DD45" s="131">
        <f t="shared" ca="1" si="38"/>
        <v>0</v>
      </c>
      <c r="DE45" s="131">
        <f t="shared" ca="1" si="38"/>
        <v>0</v>
      </c>
      <c r="DF45" s="131">
        <f t="shared" ca="1" si="38"/>
        <v>57.000000000000007</v>
      </c>
      <c r="DG45" s="131">
        <f t="shared" ca="1" si="38"/>
        <v>233.79999999999998</v>
      </c>
      <c r="DH45" s="131">
        <f t="shared" ca="1" si="38"/>
        <v>400.49999999999994</v>
      </c>
      <c r="DI45" s="131">
        <f t="shared" ca="1" si="38"/>
        <v>390.09999999999997</v>
      </c>
      <c r="DJ45" s="131">
        <f t="shared" ca="1" si="38"/>
        <v>401.99999999999994</v>
      </c>
      <c r="DK45" s="131">
        <f t="shared" ca="1" si="38"/>
        <v>252.99999999999994</v>
      </c>
      <c r="DL45" s="131">
        <f t="shared" ca="1" si="38"/>
        <v>98.299999999999983</v>
      </c>
      <c r="DM45" s="131">
        <f t="shared" ca="1" si="38"/>
        <v>10.099999999999998</v>
      </c>
      <c r="DN45" s="131">
        <f t="shared" ca="1" si="38"/>
        <v>0.5</v>
      </c>
    </row>
    <row r="46" spans="1:118" x14ac:dyDescent="0.2">
      <c r="A46" s="127">
        <v>2004</v>
      </c>
      <c r="B46" s="130">
        <v>9</v>
      </c>
      <c r="C46" s="130">
        <v>19.223333333333333</v>
      </c>
      <c r="D46" s="131">
        <v>50.3</v>
      </c>
      <c r="E46" s="131">
        <v>27</v>
      </c>
      <c r="F46" s="131">
        <v>22.999999999999996</v>
      </c>
      <c r="G46" s="131">
        <v>59.699999999999989</v>
      </c>
      <c r="H46" s="131">
        <v>5.9999999999999982</v>
      </c>
      <c r="I46" s="131">
        <v>102.7</v>
      </c>
      <c r="J46" s="131">
        <v>0.59999999999999964</v>
      </c>
      <c r="K46" s="131">
        <v>157.30000000000004</v>
      </c>
      <c r="L46" s="131">
        <v>0</v>
      </c>
      <c r="M46" s="131">
        <v>216.70000000000002</v>
      </c>
      <c r="N46" s="131">
        <v>0</v>
      </c>
      <c r="O46" s="131">
        <v>276.7</v>
      </c>
      <c r="P46" s="131">
        <v>0</v>
      </c>
      <c r="Q46" s="131">
        <v>336.70000000000005</v>
      </c>
      <c r="R46" s="131"/>
      <c r="S46" s="131"/>
      <c r="T46" s="131"/>
      <c r="V46" s="127">
        <f t="shared" si="39"/>
        <v>2015</v>
      </c>
      <c r="W46" s="131">
        <f t="shared" ca="1" si="30"/>
        <v>0</v>
      </c>
      <c r="X46" s="131">
        <f t="shared" ca="1" si="31"/>
        <v>0</v>
      </c>
      <c r="Y46" s="131">
        <f t="shared" ca="1" si="31"/>
        <v>0</v>
      </c>
      <c r="Z46" s="131">
        <f t="shared" ca="1" si="31"/>
        <v>0</v>
      </c>
      <c r="AA46" s="131">
        <f t="shared" ca="1" si="31"/>
        <v>17.799999999999997</v>
      </c>
      <c r="AB46" s="131">
        <f t="shared" ca="1" si="31"/>
        <v>26.300000000000008</v>
      </c>
      <c r="AC46" s="131">
        <f t="shared" ca="1" si="31"/>
        <v>70.799999999999983</v>
      </c>
      <c r="AD46" s="131">
        <f t="shared" ca="1" si="31"/>
        <v>54</v>
      </c>
      <c r="AE46" s="131">
        <f t="shared" ca="1" si="31"/>
        <v>38.599999999999994</v>
      </c>
      <c r="AF46" s="131">
        <f t="shared" ca="1" si="31"/>
        <v>0</v>
      </c>
      <c r="AG46" s="131">
        <f t="shared" ca="1" si="31"/>
        <v>0</v>
      </c>
      <c r="AH46" s="131">
        <f t="shared" ca="1" si="31"/>
        <v>0</v>
      </c>
      <c r="AJ46" s="127">
        <f t="shared" si="40"/>
        <v>2015</v>
      </c>
      <c r="AK46" s="131">
        <f t="shared" ca="1" si="46"/>
        <v>0</v>
      </c>
      <c r="AL46" s="131">
        <f t="shared" ca="1" si="46"/>
        <v>0</v>
      </c>
      <c r="AM46" s="131">
        <f t="shared" ca="1" si="46"/>
        <v>0</v>
      </c>
      <c r="AN46" s="131">
        <f t="shared" ca="1" si="46"/>
        <v>0</v>
      </c>
      <c r="AO46" s="131">
        <f t="shared" ca="1" si="46"/>
        <v>41.099999999999994</v>
      </c>
      <c r="AP46" s="131">
        <f t="shared" ca="1" si="46"/>
        <v>63.900000000000006</v>
      </c>
      <c r="AQ46" s="131">
        <f t="shared" ca="1" si="46"/>
        <v>120.49999999999997</v>
      </c>
      <c r="AR46" s="131">
        <f t="shared" ca="1" si="46"/>
        <v>102.79999999999997</v>
      </c>
      <c r="AS46" s="131">
        <f t="shared" ca="1" si="46"/>
        <v>70.400000000000006</v>
      </c>
      <c r="AT46" s="131">
        <f t="shared" ca="1" si="46"/>
        <v>1</v>
      </c>
      <c r="AU46" s="131">
        <f t="shared" ca="1" si="46"/>
        <v>0</v>
      </c>
      <c r="AV46" s="131">
        <f t="shared" ca="1" si="46"/>
        <v>0</v>
      </c>
      <c r="AW46" s="147">
        <f t="shared" ca="1" si="8"/>
        <v>399.69999999999993</v>
      </c>
      <c r="AX46" s="127">
        <f t="shared" si="41"/>
        <v>2015</v>
      </c>
      <c r="AY46" s="131">
        <f t="shared" ca="1" si="47"/>
        <v>0</v>
      </c>
      <c r="AZ46" s="131">
        <f t="shared" ca="1" si="47"/>
        <v>0</v>
      </c>
      <c r="BA46" s="131">
        <f t="shared" ca="1" si="47"/>
        <v>0</v>
      </c>
      <c r="BB46" s="131">
        <f t="shared" ca="1" si="47"/>
        <v>0</v>
      </c>
      <c r="BC46" s="131">
        <f t="shared" ca="1" si="47"/>
        <v>74.399999999999991</v>
      </c>
      <c r="BD46" s="131">
        <f t="shared" ca="1" si="47"/>
        <v>112.89999999999998</v>
      </c>
      <c r="BE46" s="131">
        <f t="shared" ca="1" si="47"/>
        <v>179.79999999999998</v>
      </c>
      <c r="BF46" s="131">
        <f t="shared" ca="1" si="47"/>
        <v>158.4</v>
      </c>
      <c r="BG46" s="131">
        <f t="shared" ca="1" si="47"/>
        <v>114.6</v>
      </c>
      <c r="BH46" s="131">
        <f t="shared" ca="1" si="47"/>
        <v>7.0999999999999979</v>
      </c>
      <c r="BI46" s="131">
        <f t="shared" ca="1" si="47"/>
        <v>0.89999999999999858</v>
      </c>
      <c r="BJ46" s="131">
        <f t="shared" ca="1" si="47"/>
        <v>0</v>
      </c>
      <c r="BL46" s="127">
        <f t="shared" si="42"/>
        <v>2015</v>
      </c>
      <c r="BM46" s="131">
        <f t="shared" ca="1" si="48"/>
        <v>0</v>
      </c>
      <c r="BN46" s="131">
        <f t="shared" ca="1" si="48"/>
        <v>0</v>
      </c>
      <c r="BO46" s="131">
        <f t="shared" ca="1" si="48"/>
        <v>0</v>
      </c>
      <c r="BP46" s="131">
        <f t="shared" ca="1" si="48"/>
        <v>0.90000000000000036</v>
      </c>
      <c r="BQ46" s="131">
        <f t="shared" ca="1" si="48"/>
        <v>112.99999999999999</v>
      </c>
      <c r="BR46" s="131">
        <f t="shared" ca="1" si="48"/>
        <v>167.7</v>
      </c>
      <c r="BS46" s="131">
        <f t="shared" ca="1" si="48"/>
        <v>241.60000000000002</v>
      </c>
      <c r="BT46" s="131">
        <f t="shared" ca="1" si="48"/>
        <v>218.3</v>
      </c>
      <c r="BU46" s="131">
        <f t="shared" ca="1" si="48"/>
        <v>167.50000000000003</v>
      </c>
      <c r="BV46" s="131">
        <f t="shared" ca="1" si="48"/>
        <v>22.999999999999996</v>
      </c>
      <c r="BW46" s="131">
        <f t="shared" ca="1" si="48"/>
        <v>5.2999999999999972</v>
      </c>
      <c r="BX46" s="131">
        <f t="shared" ca="1" si="48"/>
        <v>0</v>
      </c>
      <c r="BZ46" s="127">
        <f t="shared" si="43"/>
        <v>2015</v>
      </c>
      <c r="CA46" s="131">
        <f t="shared" ca="1" si="49"/>
        <v>0</v>
      </c>
      <c r="CB46" s="131">
        <f t="shared" ca="1" si="49"/>
        <v>0</v>
      </c>
      <c r="CC46" s="131">
        <f t="shared" ca="1" si="49"/>
        <v>0</v>
      </c>
      <c r="CD46" s="131">
        <f t="shared" ca="1" si="49"/>
        <v>7</v>
      </c>
      <c r="CE46" s="131">
        <f t="shared" ca="1" si="49"/>
        <v>159.69999999999999</v>
      </c>
      <c r="CF46" s="131">
        <f t="shared" ca="1" si="49"/>
        <v>225.4</v>
      </c>
      <c r="CG46" s="131">
        <f t="shared" ca="1" si="49"/>
        <v>303.60000000000002</v>
      </c>
      <c r="CH46" s="131">
        <f t="shared" ca="1" si="49"/>
        <v>280.3</v>
      </c>
      <c r="CI46" s="131">
        <f t="shared" ca="1" si="49"/>
        <v>227.30000000000007</v>
      </c>
      <c r="CJ46" s="131">
        <f t="shared" ca="1" si="49"/>
        <v>45.4</v>
      </c>
      <c r="CK46" s="131">
        <f t="shared" ca="1" si="49"/>
        <v>15.199999999999998</v>
      </c>
      <c r="CL46" s="131">
        <f t="shared" ca="1" si="49"/>
        <v>0.80000000000000071</v>
      </c>
      <c r="CN46" s="127">
        <f t="shared" si="44"/>
        <v>2015</v>
      </c>
      <c r="CO46" s="131">
        <f t="shared" ca="1" si="50"/>
        <v>0</v>
      </c>
      <c r="CP46" s="131">
        <f t="shared" ca="1" si="50"/>
        <v>0</v>
      </c>
      <c r="CQ46" s="131">
        <f t="shared" ca="1" si="50"/>
        <v>0</v>
      </c>
      <c r="CR46" s="131">
        <f t="shared" ca="1" si="50"/>
        <v>18.8</v>
      </c>
      <c r="CS46" s="131">
        <f t="shared" ca="1" si="50"/>
        <v>212.20000000000002</v>
      </c>
      <c r="CT46" s="131">
        <f t="shared" ca="1" si="50"/>
        <v>285</v>
      </c>
      <c r="CU46" s="131">
        <f t="shared" ca="1" si="50"/>
        <v>365.59999999999997</v>
      </c>
      <c r="CV46" s="131">
        <f t="shared" ca="1" si="50"/>
        <v>342.30000000000007</v>
      </c>
      <c r="CW46" s="131">
        <f t="shared" ca="1" si="50"/>
        <v>287.30000000000007</v>
      </c>
      <c r="CX46" s="131">
        <f t="shared" ca="1" si="50"/>
        <v>78</v>
      </c>
      <c r="CY46" s="131">
        <f t="shared" ca="1" si="50"/>
        <v>29.199999999999992</v>
      </c>
      <c r="CZ46" s="131">
        <f t="shared" ca="1" si="50"/>
        <v>5.4</v>
      </c>
      <c r="DB46" s="127">
        <f t="shared" si="45"/>
        <v>2015</v>
      </c>
      <c r="DC46" s="131">
        <f t="shared" ca="1" si="37"/>
        <v>0</v>
      </c>
      <c r="DD46" s="131">
        <f t="shared" ca="1" si="38"/>
        <v>0</v>
      </c>
      <c r="DE46" s="131">
        <f t="shared" ca="1" si="38"/>
        <v>0.40000000000000036</v>
      </c>
      <c r="DF46" s="131">
        <f t="shared" ca="1" si="38"/>
        <v>46.599999999999994</v>
      </c>
      <c r="DG46" s="131">
        <f t="shared" ca="1" si="38"/>
        <v>271.5</v>
      </c>
      <c r="DH46" s="131">
        <f t="shared" ca="1" si="38"/>
        <v>345</v>
      </c>
      <c r="DI46" s="131">
        <f t="shared" ca="1" si="38"/>
        <v>427.59999999999997</v>
      </c>
      <c r="DJ46" s="131">
        <f t="shared" ca="1" si="38"/>
        <v>404.30000000000007</v>
      </c>
      <c r="DK46" s="131">
        <f t="shared" ca="1" si="38"/>
        <v>347.30000000000013</v>
      </c>
      <c r="DL46" s="131">
        <f t="shared" ca="1" si="38"/>
        <v>124.7</v>
      </c>
      <c r="DM46" s="131">
        <f t="shared" ca="1" si="38"/>
        <v>52.699999999999989</v>
      </c>
      <c r="DN46" s="131">
        <f t="shared" ca="1" si="38"/>
        <v>14.400000000000002</v>
      </c>
    </row>
    <row r="47" spans="1:118" x14ac:dyDescent="0.2">
      <c r="A47" s="127">
        <v>2004</v>
      </c>
      <c r="B47" s="130">
        <v>10</v>
      </c>
      <c r="C47" s="130">
        <v>11.858064516129028</v>
      </c>
      <c r="D47" s="131">
        <v>252.39999999999995</v>
      </c>
      <c r="E47" s="131">
        <v>0</v>
      </c>
      <c r="F47" s="131">
        <v>190.89999999999995</v>
      </c>
      <c r="G47" s="131">
        <v>0.5</v>
      </c>
      <c r="H47" s="131">
        <v>133.59999999999997</v>
      </c>
      <c r="I47" s="131">
        <v>5.1999999999999993</v>
      </c>
      <c r="J47" s="131">
        <v>81.899999999999963</v>
      </c>
      <c r="K47" s="131">
        <v>15.5</v>
      </c>
      <c r="L47" s="131">
        <v>39.800000000000004</v>
      </c>
      <c r="M47" s="131">
        <v>35.4</v>
      </c>
      <c r="N47" s="131">
        <v>14.2</v>
      </c>
      <c r="O47" s="131">
        <v>71.800000000000011</v>
      </c>
      <c r="P47" s="131">
        <v>4.7</v>
      </c>
      <c r="Q47" s="131">
        <v>124.30000000000004</v>
      </c>
      <c r="R47" s="131"/>
      <c r="S47" s="131"/>
      <c r="T47" s="131"/>
      <c r="V47" s="127">
        <f t="shared" si="39"/>
        <v>2016</v>
      </c>
      <c r="W47" s="131">
        <f t="shared" ca="1" si="30"/>
        <v>0</v>
      </c>
      <c r="X47" s="131">
        <f t="shared" ca="1" si="31"/>
        <v>0</v>
      </c>
      <c r="Y47" s="131">
        <f t="shared" ca="1" si="31"/>
        <v>0</v>
      </c>
      <c r="Z47" s="131">
        <f t="shared" ca="1" si="31"/>
        <v>0</v>
      </c>
      <c r="AA47" s="131">
        <f t="shared" ca="1" si="31"/>
        <v>22.100000000000005</v>
      </c>
      <c r="AB47" s="131">
        <f t="shared" ca="1" si="31"/>
        <v>52.900000000000006</v>
      </c>
      <c r="AC47" s="131">
        <f t="shared" ca="1" si="31"/>
        <v>118.89999999999999</v>
      </c>
      <c r="AD47" s="131">
        <f t="shared" ca="1" si="31"/>
        <v>114.29999999999998</v>
      </c>
      <c r="AE47" s="131">
        <f t="shared" ca="1" si="31"/>
        <v>29.799999999999997</v>
      </c>
      <c r="AF47" s="131">
        <f t="shared" ca="1" si="31"/>
        <v>3.5</v>
      </c>
      <c r="AG47" s="131">
        <f t="shared" ca="1" si="31"/>
        <v>0</v>
      </c>
      <c r="AH47" s="131">
        <f t="shared" ca="1" si="31"/>
        <v>0</v>
      </c>
      <c r="AJ47" s="127">
        <f t="shared" si="40"/>
        <v>2016</v>
      </c>
      <c r="AK47" s="131">
        <f t="shared" ca="1" si="46"/>
        <v>0</v>
      </c>
      <c r="AL47" s="131">
        <f t="shared" ca="1" si="46"/>
        <v>0</v>
      </c>
      <c r="AM47" s="131">
        <f t="shared" ca="1" si="46"/>
        <v>0</v>
      </c>
      <c r="AN47" s="131">
        <f t="shared" ca="1" si="46"/>
        <v>0</v>
      </c>
      <c r="AO47" s="131">
        <f t="shared" ca="1" si="46"/>
        <v>37.400000000000006</v>
      </c>
      <c r="AP47" s="131">
        <f t="shared" ca="1" si="46"/>
        <v>101.3</v>
      </c>
      <c r="AQ47" s="131">
        <f t="shared" ca="1" si="46"/>
        <v>178.3</v>
      </c>
      <c r="AR47" s="131">
        <f t="shared" ca="1" si="46"/>
        <v>174.90000000000006</v>
      </c>
      <c r="AS47" s="131">
        <f t="shared" ca="1" si="46"/>
        <v>60.70000000000001</v>
      </c>
      <c r="AT47" s="131">
        <f t="shared" ca="1" si="46"/>
        <v>14.099999999999998</v>
      </c>
      <c r="AU47" s="131">
        <f t="shared" ca="1" si="46"/>
        <v>0</v>
      </c>
      <c r="AV47" s="131">
        <f t="shared" ca="1" si="46"/>
        <v>0</v>
      </c>
      <c r="AW47" s="147">
        <f t="shared" ca="1" si="8"/>
        <v>566.70000000000016</v>
      </c>
      <c r="AX47" s="127">
        <f t="shared" si="41"/>
        <v>2016</v>
      </c>
      <c r="AY47" s="131">
        <f t="shared" ca="1" si="47"/>
        <v>0</v>
      </c>
      <c r="AZ47" s="131">
        <f t="shared" ca="1" si="47"/>
        <v>0</v>
      </c>
      <c r="BA47" s="131">
        <f t="shared" ca="1" si="47"/>
        <v>0</v>
      </c>
      <c r="BB47" s="131">
        <f t="shared" ca="1" si="47"/>
        <v>0</v>
      </c>
      <c r="BC47" s="131">
        <f t="shared" ca="1" si="47"/>
        <v>55.2</v>
      </c>
      <c r="BD47" s="131">
        <f t="shared" ca="1" si="47"/>
        <v>155.4</v>
      </c>
      <c r="BE47" s="131">
        <f t="shared" ca="1" si="47"/>
        <v>240.29999999999998</v>
      </c>
      <c r="BF47" s="131">
        <f t="shared" ca="1" si="47"/>
        <v>236.90000000000003</v>
      </c>
      <c r="BG47" s="131">
        <f t="shared" ca="1" si="47"/>
        <v>104.9</v>
      </c>
      <c r="BH47" s="131">
        <f t="shared" ca="1" si="47"/>
        <v>29.9</v>
      </c>
      <c r="BI47" s="131">
        <f t="shared" ca="1" si="47"/>
        <v>0.10000000000000142</v>
      </c>
      <c r="BJ47" s="131">
        <f t="shared" ca="1" si="47"/>
        <v>0</v>
      </c>
      <c r="BL47" s="127">
        <f t="shared" si="42"/>
        <v>2016</v>
      </c>
      <c r="BM47" s="131">
        <f t="shared" ca="1" si="48"/>
        <v>0</v>
      </c>
      <c r="BN47" s="131">
        <f t="shared" ca="1" si="48"/>
        <v>0</v>
      </c>
      <c r="BO47" s="131">
        <f t="shared" ca="1" si="48"/>
        <v>0.59999999999999964</v>
      </c>
      <c r="BP47" s="131">
        <f t="shared" ca="1" si="48"/>
        <v>2.5</v>
      </c>
      <c r="BQ47" s="131">
        <f t="shared" ca="1" si="48"/>
        <v>80.900000000000006</v>
      </c>
      <c r="BR47" s="131">
        <f t="shared" ca="1" si="48"/>
        <v>214.49999999999991</v>
      </c>
      <c r="BS47" s="131">
        <f t="shared" ca="1" si="48"/>
        <v>302.3</v>
      </c>
      <c r="BT47" s="131">
        <f t="shared" ca="1" si="48"/>
        <v>298.89999999999992</v>
      </c>
      <c r="BU47" s="131">
        <f t="shared" ca="1" si="48"/>
        <v>161.5</v>
      </c>
      <c r="BV47" s="131">
        <f t="shared" ca="1" si="48"/>
        <v>53.79999999999999</v>
      </c>
      <c r="BW47" s="131">
        <f t="shared" ca="1" si="48"/>
        <v>5.0000000000000018</v>
      </c>
      <c r="BX47" s="131">
        <f t="shared" ca="1" si="48"/>
        <v>0</v>
      </c>
      <c r="BZ47" s="127">
        <f t="shared" si="43"/>
        <v>2016</v>
      </c>
      <c r="CA47" s="131">
        <f t="shared" ca="1" si="49"/>
        <v>0</v>
      </c>
      <c r="CB47" s="131">
        <f t="shared" ca="1" si="49"/>
        <v>0</v>
      </c>
      <c r="CC47" s="131">
        <f t="shared" ca="1" si="49"/>
        <v>6.1</v>
      </c>
      <c r="CD47" s="131">
        <f t="shared" ca="1" si="49"/>
        <v>9.4</v>
      </c>
      <c r="CE47" s="131">
        <f t="shared" ca="1" si="49"/>
        <v>116.89999999999998</v>
      </c>
      <c r="CF47" s="131">
        <f t="shared" ca="1" si="49"/>
        <v>274.49999999999989</v>
      </c>
      <c r="CG47" s="131">
        <f t="shared" ca="1" si="49"/>
        <v>364.29999999999995</v>
      </c>
      <c r="CH47" s="131">
        <f t="shared" ca="1" si="49"/>
        <v>360.9</v>
      </c>
      <c r="CI47" s="131">
        <f t="shared" ca="1" si="49"/>
        <v>221.29999999999998</v>
      </c>
      <c r="CJ47" s="131">
        <f t="shared" ca="1" si="49"/>
        <v>82.799999999999983</v>
      </c>
      <c r="CK47" s="131">
        <f t="shared" ca="1" si="49"/>
        <v>11.600000000000001</v>
      </c>
      <c r="CL47" s="131">
        <f t="shared" ca="1" si="49"/>
        <v>0</v>
      </c>
      <c r="CN47" s="127">
        <f t="shared" si="44"/>
        <v>2016</v>
      </c>
      <c r="CO47" s="131">
        <f t="shared" ca="1" si="50"/>
        <v>0</v>
      </c>
      <c r="CP47" s="131">
        <f t="shared" ca="1" si="50"/>
        <v>0</v>
      </c>
      <c r="CQ47" s="131">
        <f t="shared" ca="1" si="50"/>
        <v>14.1</v>
      </c>
      <c r="CR47" s="131">
        <f t="shared" ca="1" si="50"/>
        <v>21.000000000000004</v>
      </c>
      <c r="CS47" s="131">
        <f t="shared" ca="1" si="50"/>
        <v>165.79999999999998</v>
      </c>
      <c r="CT47" s="131">
        <f t="shared" ca="1" si="50"/>
        <v>334.49999999999989</v>
      </c>
      <c r="CU47" s="131">
        <f t="shared" ca="1" si="50"/>
        <v>426.3</v>
      </c>
      <c r="CV47" s="131">
        <f t="shared" ca="1" si="50"/>
        <v>422.90000000000003</v>
      </c>
      <c r="CW47" s="131">
        <f t="shared" ca="1" si="50"/>
        <v>281.3</v>
      </c>
      <c r="CX47" s="131">
        <f t="shared" ca="1" si="50"/>
        <v>118.69999999999999</v>
      </c>
      <c r="CY47" s="131">
        <f t="shared" ca="1" si="50"/>
        <v>22.900000000000002</v>
      </c>
      <c r="CZ47" s="131">
        <f t="shared" ca="1" si="50"/>
        <v>0</v>
      </c>
      <c r="DB47" s="127">
        <f t="shared" si="45"/>
        <v>2016</v>
      </c>
      <c r="DC47" s="131">
        <f t="shared" ca="1" si="37"/>
        <v>0</v>
      </c>
      <c r="DD47" s="131">
        <f t="shared" ca="1" si="38"/>
        <v>2.3000000000000007</v>
      </c>
      <c r="DE47" s="131">
        <f t="shared" ca="1" si="38"/>
        <v>27.099999999999994</v>
      </c>
      <c r="DF47" s="131">
        <f t="shared" ca="1" si="38"/>
        <v>41.900000000000006</v>
      </c>
      <c r="DG47" s="131">
        <f t="shared" ca="1" si="38"/>
        <v>223.59999999999997</v>
      </c>
      <c r="DH47" s="131">
        <f t="shared" ca="1" si="38"/>
        <v>394.49999999999989</v>
      </c>
      <c r="DI47" s="131">
        <f t="shared" ca="1" si="38"/>
        <v>488.3</v>
      </c>
      <c r="DJ47" s="131">
        <f t="shared" ca="1" si="38"/>
        <v>484.90000000000003</v>
      </c>
      <c r="DK47" s="131">
        <f t="shared" ca="1" si="38"/>
        <v>341.29999999999995</v>
      </c>
      <c r="DL47" s="131">
        <f t="shared" ca="1" si="38"/>
        <v>162.29999999999998</v>
      </c>
      <c r="DM47" s="131">
        <f t="shared" ca="1" si="38"/>
        <v>45.600000000000009</v>
      </c>
      <c r="DN47" s="131">
        <f t="shared" ca="1" si="38"/>
        <v>0</v>
      </c>
    </row>
    <row r="48" spans="1:118" x14ac:dyDescent="0.2">
      <c r="A48" s="127">
        <v>2004</v>
      </c>
      <c r="B48" s="130">
        <v>11</v>
      </c>
      <c r="C48" s="130">
        <v>6.200000000000002</v>
      </c>
      <c r="D48" s="131">
        <v>414</v>
      </c>
      <c r="E48" s="131">
        <v>0</v>
      </c>
      <c r="F48" s="131">
        <v>353.99999999999994</v>
      </c>
      <c r="G48" s="131">
        <v>0</v>
      </c>
      <c r="H48" s="131">
        <v>293.99999999999994</v>
      </c>
      <c r="I48" s="131">
        <v>0</v>
      </c>
      <c r="J48" s="131">
        <v>233.99999999999997</v>
      </c>
      <c r="K48" s="131">
        <v>0</v>
      </c>
      <c r="L48" s="131">
        <v>175.69999999999996</v>
      </c>
      <c r="M48" s="131">
        <v>1.6999999999999993</v>
      </c>
      <c r="N48" s="131">
        <v>120.1</v>
      </c>
      <c r="O48" s="131">
        <v>6.0999999999999979</v>
      </c>
      <c r="P48" s="131">
        <v>72.2</v>
      </c>
      <c r="Q48" s="131">
        <v>18.2</v>
      </c>
      <c r="R48" s="131"/>
      <c r="S48" s="131"/>
      <c r="T48" s="131"/>
      <c r="V48" s="127">
        <f t="shared" si="39"/>
        <v>2017</v>
      </c>
      <c r="W48" s="131">
        <f t="shared" ca="1" si="30"/>
        <v>0</v>
      </c>
      <c r="X48" s="131">
        <f t="shared" ref="X48:AH51" ca="1" si="51">OFFSET($E$2,(ROW()-32)*12+COLUMN()-23,0)</f>
        <v>0</v>
      </c>
      <c r="Y48" s="131">
        <f t="shared" ca="1" si="51"/>
        <v>0</v>
      </c>
      <c r="Z48" s="131">
        <f t="shared" ca="1" si="51"/>
        <v>0</v>
      </c>
      <c r="AA48" s="131">
        <f t="shared" ca="1" si="51"/>
        <v>8.1999999999999993</v>
      </c>
      <c r="AB48" s="131">
        <f t="shared" ca="1" si="51"/>
        <v>65.199999999999989</v>
      </c>
      <c r="AC48" s="131">
        <f t="shared" ca="1" si="51"/>
        <v>76</v>
      </c>
      <c r="AD48" s="131">
        <f t="shared" ca="1" si="51"/>
        <v>34.800000000000011</v>
      </c>
      <c r="AE48" s="131">
        <f t="shared" ca="1" si="51"/>
        <v>28.3</v>
      </c>
      <c r="AF48" s="131">
        <f t="shared" ca="1" si="51"/>
        <v>4.4000000000000021</v>
      </c>
      <c r="AG48" s="131">
        <f t="shared" ca="1" si="51"/>
        <v>0</v>
      </c>
      <c r="AH48" s="131">
        <f t="shared" ca="1" si="51"/>
        <v>0</v>
      </c>
      <c r="AJ48" s="127">
        <f t="shared" si="40"/>
        <v>2017</v>
      </c>
      <c r="AK48" s="131">
        <f t="shared" ca="1" si="46"/>
        <v>0</v>
      </c>
      <c r="AL48" s="131">
        <f t="shared" ca="1" si="46"/>
        <v>0</v>
      </c>
      <c r="AM48" s="131">
        <f t="shared" ca="1" si="46"/>
        <v>0</v>
      </c>
      <c r="AN48" s="131">
        <f t="shared" ca="1" si="46"/>
        <v>1</v>
      </c>
      <c r="AO48" s="131">
        <f t="shared" ca="1" si="46"/>
        <v>17.900000000000002</v>
      </c>
      <c r="AP48" s="131">
        <f t="shared" ca="1" si="46"/>
        <v>102.50000000000003</v>
      </c>
      <c r="AQ48" s="131">
        <f t="shared" ca="1" si="46"/>
        <v>137.00000000000003</v>
      </c>
      <c r="AR48" s="131">
        <f t="shared" ca="1" si="46"/>
        <v>80.600000000000009</v>
      </c>
      <c r="AS48" s="131">
        <f t="shared" ca="1" si="46"/>
        <v>56.400000000000006</v>
      </c>
      <c r="AT48" s="131">
        <f t="shared" ca="1" si="46"/>
        <v>12.000000000000004</v>
      </c>
      <c r="AU48" s="131">
        <f t="shared" ca="1" si="46"/>
        <v>0</v>
      </c>
      <c r="AV48" s="131">
        <f t="shared" ca="1" si="46"/>
        <v>0</v>
      </c>
      <c r="AW48" s="147">
        <f t="shared" ca="1" si="8"/>
        <v>407.40000000000009</v>
      </c>
      <c r="AX48" s="127">
        <f t="shared" si="41"/>
        <v>2017</v>
      </c>
      <c r="AY48" s="131">
        <f t="shared" ca="1" si="47"/>
        <v>0</v>
      </c>
      <c r="AZ48" s="131">
        <f t="shared" ca="1" si="47"/>
        <v>0</v>
      </c>
      <c r="BA48" s="131">
        <f t="shared" ca="1" si="47"/>
        <v>0</v>
      </c>
      <c r="BB48" s="131">
        <f t="shared" ca="1" si="47"/>
        <v>7.9000000000000021</v>
      </c>
      <c r="BC48" s="131">
        <f t="shared" ca="1" si="47"/>
        <v>38.100000000000009</v>
      </c>
      <c r="BD48" s="131">
        <f t="shared" ca="1" si="47"/>
        <v>153.29999999999998</v>
      </c>
      <c r="BE48" s="131">
        <f t="shared" ca="1" si="47"/>
        <v>198.99999999999997</v>
      </c>
      <c r="BF48" s="131">
        <f t="shared" ca="1" si="47"/>
        <v>136.4</v>
      </c>
      <c r="BG48" s="131">
        <f t="shared" ca="1" si="47"/>
        <v>90.999999999999986</v>
      </c>
      <c r="BH48" s="131">
        <f t="shared" ca="1" si="47"/>
        <v>27.5</v>
      </c>
      <c r="BI48" s="131">
        <f t="shared" ca="1" si="47"/>
        <v>0</v>
      </c>
      <c r="BJ48" s="131">
        <f t="shared" ca="1" si="47"/>
        <v>0</v>
      </c>
      <c r="BL48" s="127">
        <f t="shared" si="42"/>
        <v>2017</v>
      </c>
      <c r="BM48" s="131">
        <f t="shared" ca="1" si="48"/>
        <v>0</v>
      </c>
      <c r="BN48" s="131">
        <f t="shared" ca="1" si="48"/>
        <v>0</v>
      </c>
      <c r="BO48" s="131">
        <f t="shared" ca="1" si="48"/>
        <v>0</v>
      </c>
      <c r="BP48" s="131">
        <f t="shared" ca="1" si="48"/>
        <v>21.300000000000004</v>
      </c>
      <c r="BQ48" s="131">
        <f t="shared" ca="1" si="48"/>
        <v>64.7</v>
      </c>
      <c r="BR48" s="131">
        <f t="shared" ca="1" si="48"/>
        <v>213.29999999999998</v>
      </c>
      <c r="BS48" s="131">
        <f t="shared" ca="1" si="48"/>
        <v>260.99999999999994</v>
      </c>
      <c r="BT48" s="131">
        <f t="shared" ca="1" si="48"/>
        <v>197.89999999999998</v>
      </c>
      <c r="BU48" s="131">
        <f t="shared" ca="1" si="48"/>
        <v>133.70000000000002</v>
      </c>
      <c r="BV48" s="131">
        <f t="shared" ca="1" si="48"/>
        <v>55.4</v>
      </c>
      <c r="BW48" s="131">
        <f t="shared" ca="1" si="48"/>
        <v>0</v>
      </c>
      <c r="BX48" s="131">
        <f t="shared" ca="1" si="48"/>
        <v>0</v>
      </c>
      <c r="BZ48" s="127">
        <f t="shared" si="43"/>
        <v>2017</v>
      </c>
      <c r="CA48" s="131">
        <f t="shared" ca="1" si="49"/>
        <v>0</v>
      </c>
      <c r="CB48" s="131">
        <f t="shared" ca="1" si="49"/>
        <v>0</v>
      </c>
      <c r="CC48" s="131">
        <f t="shared" ca="1" si="49"/>
        <v>1</v>
      </c>
      <c r="CD48" s="131">
        <f t="shared" ca="1" si="49"/>
        <v>40.300000000000004</v>
      </c>
      <c r="CE48" s="131">
        <f t="shared" ca="1" si="49"/>
        <v>100.50000000000001</v>
      </c>
      <c r="CF48" s="131">
        <f t="shared" ca="1" si="49"/>
        <v>273.3</v>
      </c>
      <c r="CG48" s="131">
        <f t="shared" ca="1" si="49"/>
        <v>323</v>
      </c>
      <c r="CH48" s="131">
        <f t="shared" ca="1" si="49"/>
        <v>259.89999999999998</v>
      </c>
      <c r="CI48" s="131">
        <f t="shared" ca="1" si="49"/>
        <v>189.50000000000003</v>
      </c>
      <c r="CJ48" s="131">
        <f t="shared" ca="1" si="49"/>
        <v>91.399999999999991</v>
      </c>
      <c r="CK48" s="131">
        <f t="shared" ca="1" si="49"/>
        <v>0.40000000000000036</v>
      </c>
      <c r="CL48" s="131">
        <f t="shared" ca="1" si="49"/>
        <v>0</v>
      </c>
      <c r="CN48" s="127">
        <f t="shared" si="44"/>
        <v>2017</v>
      </c>
      <c r="CO48" s="131">
        <f t="shared" ca="1" si="50"/>
        <v>0</v>
      </c>
      <c r="CP48" s="131">
        <f t="shared" ca="1" si="50"/>
        <v>4.4000000000000004</v>
      </c>
      <c r="CQ48" s="131">
        <f t="shared" ca="1" si="50"/>
        <v>4.6999999999999993</v>
      </c>
      <c r="CR48" s="131">
        <f t="shared" ca="1" si="50"/>
        <v>68.5</v>
      </c>
      <c r="CS48" s="131">
        <f t="shared" ca="1" si="50"/>
        <v>144.6</v>
      </c>
      <c r="CT48" s="131">
        <f t="shared" ca="1" si="50"/>
        <v>333.30000000000007</v>
      </c>
      <c r="CU48" s="131">
        <f t="shared" ca="1" si="50"/>
        <v>385</v>
      </c>
      <c r="CV48" s="131">
        <f t="shared" ca="1" si="50"/>
        <v>321.90000000000009</v>
      </c>
      <c r="CW48" s="131">
        <f t="shared" ca="1" si="50"/>
        <v>248.90000000000003</v>
      </c>
      <c r="CX48" s="131">
        <f t="shared" ca="1" si="50"/>
        <v>135.79999999999998</v>
      </c>
      <c r="CY48" s="131">
        <f t="shared" ca="1" si="50"/>
        <v>4.1000000000000014</v>
      </c>
      <c r="CZ48" s="131">
        <f t="shared" ca="1" si="50"/>
        <v>0</v>
      </c>
      <c r="DB48" s="127">
        <f t="shared" si="45"/>
        <v>2017</v>
      </c>
      <c r="DC48" s="131">
        <f t="shared" ca="1" si="37"/>
        <v>0</v>
      </c>
      <c r="DD48" s="131">
        <f t="shared" ref="DD48:DN51" ca="1" si="52">OFFSET($Q$2,(ROW()-32)*12+COLUMN()-107,0)</f>
        <v>14.200000000000001</v>
      </c>
      <c r="DE48" s="131">
        <f t="shared" ca="1" si="52"/>
        <v>9.7999999999999989</v>
      </c>
      <c r="DF48" s="131">
        <f t="shared" ca="1" si="52"/>
        <v>110.00000000000003</v>
      </c>
      <c r="DG48" s="131">
        <f t="shared" ca="1" si="52"/>
        <v>194.4</v>
      </c>
      <c r="DH48" s="131">
        <f t="shared" ca="1" si="52"/>
        <v>393.30000000000007</v>
      </c>
      <c r="DI48" s="131">
        <f t="shared" ca="1" si="52"/>
        <v>447</v>
      </c>
      <c r="DJ48" s="131">
        <f t="shared" ca="1" si="52"/>
        <v>383.90000000000015</v>
      </c>
      <c r="DK48" s="131">
        <f t="shared" ca="1" si="52"/>
        <v>308.89999999999992</v>
      </c>
      <c r="DL48" s="131">
        <f t="shared" ca="1" si="52"/>
        <v>185.49999999999997</v>
      </c>
      <c r="DM48" s="131">
        <f t="shared" ca="1" si="52"/>
        <v>10.100000000000001</v>
      </c>
      <c r="DN48" s="131">
        <f t="shared" ca="1" si="52"/>
        <v>0</v>
      </c>
    </row>
    <row r="49" spans="1:118" x14ac:dyDescent="0.2">
      <c r="A49" s="127">
        <v>2004</v>
      </c>
      <c r="B49" s="130">
        <v>12</v>
      </c>
      <c r="C49" s="130">
        <v>-1.1451612903225807</v>
      </c>
      <c r="D49" s="131">
        <v>655.50000000000011</v>
      </c>
      <c r="E49" s="131">
        <v>0</v>
      </c>
      <c r="F49" s="131">
        <v>593.50000000000011</v>
      </c>
      <c r="G49" s="131">
        <v>0</v>
      </c>
      <c r="H49" s="131">
        <v>531.5</v>
      </c>
      <c r="I49" s="131">
        <v>0</v>
      </c>
      <c r="J49" s="131">
        <v>469.5</v>
      </c>
      <c r="K49" s="131">
        <v>0</v>
      </c>
      <c r="L49" s="131">
        <v>407.49999999999994</v>
      </c>
      <c r="M49" s="131">
        <v>0</v>
      </c>
      <c r="N49" s="131">
        <v>346.09999999999997</v>
      </c>
      <c r="O49" s="131">
        <v>0.59999999999999964</v>
      </c>
      <c r="P49" s="131">
        <v>288</v>
      </c>
      <c r="Q49" s="131">
        <v>4.5</v>
      </c>
      <c r="R49" s="131"/>
      <c r="S49" s="131"/>
      <c r="T49" s="131"/>
      <c r="V49" s="127">
        <f t="shared" si="39"/>
        <v>2018</v>
      </c>
      <c r="W49" s="131">
        <f t="shared" ca="1" si="30"/>
        <v>0</v>
      </c>
      <c r="X49" s="131">
        <f t="shared" ca="1" si="51"/>
        <v>0</v>
      </c>
      <c r="Y49" s="131">
        <f t="shared" ca="1" si="51"/>
        <v>0</v>
      </c>
      <c r="Z49" s="131">
        <f t="shared" ca="1" si="51"/>
        <v>0</v>
      </c>
      <c r="AA49" s="131">
        <f t="shared" ca="1" si="51"/>
        <v>30.400000000000006</v>
      </c>
      <c r="AB49" s="131">
        <f t="shared" ca="1" si="51"/>
        <v>51.8</v>
      </c>
      <c r="AC49" s="131">
        <f t="shared" ca="1" si="51"/>
        <v>103.60000000000002</v>
      </c>
      <c r="AD49" s="131">
        <f t="shared" ca="1" si="51"/>
        <v>100.7</v>
      </c>
      <c r="AE49" s="131">
        <f t="shared" ca="1" si="51"/>
        <v>53.199999999999996</v>
      </c>
      <c r="AF49" s="131">
        <f t="shared" ca="1" si="51"/>
        <v>9.8999999999999986</v>
      </c>
      <c r="AG49" s="131">
        <f t="shared" ca="1" si="51"/>
        <v>0</v>
      </c>
      <c r="AH49" s="131">
        <f t="shared" ca="1" si="51"/>
        <v>0</v>
      </c>
      <c r="AJ49" s="127">
        <f t="shared" si="40"/>
        <v>2018</v>
      </c>
      <c r="AK49" s="131">
        <f t="shared" ca="1" si="46"/>
        <v>0</v>
      </c>
      <c r="AL49" s="131">
        <f t="shared" ca="1" si="46"/>
        <v>0</v>
      </c>
      <c r="AM49" s="131">
        <f t="shared" ca="1" si="46"/>
        <v>0</v>
      </c>
      <c r="AN49" s="131">
        <f t="shared" ca="1" si="46"/>
        <v>0</v>
      </c>
      <c r="AO49" s="131">
        <f t="shared" ca="1" si="46"/>
        <v>49.900000000000006</v>
      </c>
      <c r="AP49" s="131">
        <f t="shared" ca="1" si="46"/>
        <v>93.9</v>
      </c>
      <c r="AQ49" s="131">
        <f t="shared" ca="1" si="46"/>
        <v>163.30000000000001</v>
      </c>
      <c r="AR49" s="131">
        <f t="shared" ca="1" si="46"/>
        <v>159.80000000000001</v>
      </c>
      <c r="AS49" s="131">
        <f t="shared" ca="1" si="46"/>
        <v>85.300000000000011</v>
      </c>
      <c r="AT49" s="131">
        <f t="shared" ca="1" si="46"/>
        <v>19.600000000000001</v>
      </c>
      <c r="AU49" s="131">
        <f t="shared" ca="1" si="46"/>
        <v>0</v>
      </c>
      <c r="AV49" s="131">
        <f t="shared" ca="1" si="46"/>
        <v>0</v>
      </c>
      <c r="AW49" s="147">
        <f t="shared" ca="1" si="8"/>
        <v>571.80000000000007</v>
      </c>
      <c r="AX49" s="127">
        <f t="shared" si="41"/>
        <v>2018</v>
      </c>
      <c r="AY49" s="131">
        <f t="shared" ca="1" si="47"/>
        <v>0</v>
      </c>
      <c r="AZ49" s="131">
        <f t="shared" ca="1" si="47"/>
        <v>0</v>
      </c>
      <c r="BA49" s="131">
        <f t="shared" ca="1" si="47"/>
        <v>0</v>
      </c>
      <c r="BB49" s="131">
        <f t="shared" ca="1" si="47"/>
        <v>0</v>
      </c>
      <c r="BC49" s="131">
        <f t="shared" ca="1" si="47"/>
        <v>82.1</v>
      </c>
      <c r="BD49" s="131">
        <f t="shared" ca="1" si="47"/>
        <v>148.80000000000001</v>
      </c>
      <c r="BE49" s="131">
        <f t="shared" ca="1" si="47"/>
        <v>225.1</v>
      </c>
      <c r="BF49" s="131">
        <f t="shared" ca="1" si="47"/>
        <v>221.79999999999995</v>
      </c>
      <c r="BG49" s="131">
        <f t="shared" ca="1" si="47"/>
        <v>125.1</v>
      </c>
      <c r="BH49" s="131">
        <f t="shared" ca="1" si="47"/>
        <v>31.8</v>
      </c>
      <c r="BI49" s="131">
        <f t="shared" ca="1" si="47"/>
        <v>0</v>
      </c>
      <c r="BJ49" s="131">
        <f t="shared" ca="1" si="47"/>
        <v>0</v>
      </c>
      <c r="BL49" s="127">
        <f t="shared" si="42"/>
        <v>2018</v>
      </c>
      <c r="BM49" s="131">
        <f t="shared" ca="1" si="48"/>
        <v>0</v>
      </c>
      <c r="BN49" s="131">
        <f t="shared" ca="1" si="48"/>
        <v>0</v>
      </c>
      <c r="BO49" s="131">
        <f t="shared" ca="1" si="48"/>
        <v>0</v>
      </c>
      <c r="BP49" s="131">
        <f t="shared" ca="1" si="48"/>
        <v>9.9999999999999645E-2</v>
      </c>
      <c r="BQ49" s="131">
        <f t="shared" ca="1" si="48"/>
        <v>127.69999999999999</v>
      </c>
      <c r="BR49" s="131">
        <f t="shared" ca="1" si="48"/>
        <v>206.29999999999998</v>
      </c>
      <c r="BS49" s="131">
        <f t="shared" ca="1" si="48"/>
        <v>287.10000000000008</v>
      </c>
      <c r="BT49" s="131">
        <f t="shared" ca="1" si="48"/>
        <v>283.79999999999995</v>
      </c>
      <c r="BU49" s="131">
        <f t="shared" ca="1" si="48"/>
        <v>171.29999999999995</v>
      </c>
      <c r="BV49" s="131">
        <f t="shared" ca="1" si="48"/>
        <v>47.3</v>
      </c>
      <c r="BW49" s="131">
        <f t="shared" ca="1" si="48"/>
        <v>0</v>
      </c>
      <c r="BX49" s="131">
        <f t="shared" ca="1" si="48"/>
        <v>0</v>
      </c>
      <c r="BZ49" s="127">
        <f t="shared" si="43"/>
        <v>2018</v>
      </c>
      <c r="CA49" s="131">
        <f t="shared" ca="1" si="49"/>
        <v>0</v>
      </c>
      <c r="CB49" s="131">
        <f t="shared" ca="1" si="49"/>
        <v>1</v>
      </c>
      <c r="CC49" s="131">
        <f t="shared" ca="1" si="49"/>
        <v>0</v>
      </c>
      <c r="CD49" s="131">
        <f t="shared" ca="1" si="49"/>
        <v>2.2999999999999989</v>
      </c>
      <c r="CE49" s="131">
        <f t="shared" ca="1" si="49"/>
        <v>182.1</v>
      </c>
      <c r="CF49" s="131">
        <f t="shared" ca="1" si="49"/>
        <v>266.29999999999995</v>
      </c>
      <c r="CG49" s="131">
        <f t="shared" ca="1" si="49"/>
        <v>349.10000000000008</v>
      </c>
      <c r="CH49" s="131">
        <f t="shared" ca="1" si="49"/>
        <v>345.79999999999995</v>
      </c>
      <c r="CI49" s="131">
        <f t="shared" ca="1" si="49"/>
        <v>224.19999999999996</v>
      </c>
      <c r="CJ49" s="131">
        <f t="shared" ca="1" si="49"/>
        <v>67.3</v>
      </c>
      <c r="CK49" s="131">
        <f t="shared" ca="1" si="49"/>
        <v>0</v>
      </c>
      <c r="CL49" s="131">
        <f t="shared" ca="1" si="49"/>
        <v>0</v>
      </c>
      <c r="CN49" s="127">
        <f t="shared" si="44"/>
        <v>2018</v>
      </c>
      <c r="CO49" s="131">
        <f t="shared" ca="1" si="50"/>
        <v>0</v>
      </c>
      <c r="CP49" s="131">
        <f t="shared" ca="1" si="50"/>
        <v>3</v>
      </c>
      <c r="CQ49" s="131">
        <f t="shared" ca="1" si="50"/>
        <v>0</v>
      </c>
      <c r="CR49" s="131">
        <f t="shared" ca="1" si="50"/>
        <v>9.4</v>
      </c>
      <c r="CS49" s="131">
        <f t="shared" ca="1" si="50"/>
        <v>239.70000000000002</v>
      </c>
      <c r="CT49" s="131">
        <f t="shared" ca="1" si="50"/>
        <v>326.29999999999995</v>
      </c>
      <c r="CU49" s="131">
        <f t="shared" ca="1" si="50"/>
        <v>411.10000000000014</v>
      </c>
      <c r="CV49" s="131">
        <f t="shared" ca="1" si="50"/>
        <v>407.8</v>
      </c>
      <c r="CW49" s="131">
        <f t="shared" ca="1" si="50"/>
        <v>283.89999999999992</v>
      </c>
      <c r="CX49" s="131">
        <f t="shared" ca="1" si="50"/>
        <v>89.3</v>
      </c>
      <c r="CY49" s="131">
        <f t="shared" ca="1" si="50"/>
        <v>0.5</v>
      </c>
      <c r="CZ49" s="131">
        <f t="shared" ca="1" si="50"/>
        <v>0</v>
      </c>
      <c r="DB49" s="127">
        <f t="shared" si="45"/>
        <v>2018</v>
      </c>
      <c r="DC49" s="131">
        <f t="shared" ca="1" si="37"/>
        <v>1.3000000000000007</v>
      </c>
      <c r="DD49" s="131">
        <f t="shared" ca="1" si="52"/>
        <v>5.9</v>
      </c>
      <c r="DE49" s="131">
        <f t="shared" ca="1" si="52"/>
        <v>0</v>
      </c>
      <c r="DF49" s="131">
        <f t="shared" ca="1" si="52"/>
        <v>21.3</v>
      </c>
      <c r="DG49" s="131">
        <f t="shared" ca="1" si="52"/>
        <v>298.20000000000005</v>
      </c>
      <c r="DH49" s="131">
        <f t="shared" ca="1" si="52"/>
        <v>386.29999999999995</v>
      </c>
      <c r="DI49" s="131">
        <f t="shared" ca="1" si="52"/>
        <v>473.10000000000014</v>
      </c>
      <c r="DJ49" s="131">
        <f t="shared" ca="1" si="52"/>
        <v>469.8</v>
      </c>
      <c r="DK49" s="131">
        <f t="shared" ca="1" si="52"/>
        <v>343.9</v>
      </c>
      <c r="DL49" s="131">
        <f t="shared" ca="1" si="52"/>
        <v>116.79999999999998</v>
      </c>
      <c r="DM49" s="131">
        <f t="shared" ca="1" si="52"/>
        <v>4.5</v>
      </c>
      <c r="DN49" s="131">
        <f t="shared" ca="1" si="52"/>
        <v>1.4000000000000004</v>
      </c>
    </row>
    <row r="50" spans="1:118" x14ac:dyDescent="0.2">
      <c r="A50" s="127">
        <v>2005</v>
      </c>
      <c r="B50" s="130">
        <v>1</v>
      </c>
      <c r="C50" s="130">
        <v>-4.5935483870967735</v>
      </c>
      <c r="D50" s="131">
        <v>762.40000000000009</v>
      </c>
      <c r="E50" s="131">
        <v>0</v>
      </c>
      <c r="F50" s="131">
        <v>700.40000000000009</v>
      </c>
      <c r="G50" s="131">
        <v>0</v>
      </c>
      <c r="H50" s="131">
        <v>638.40000000000009</v>
      </c>
      <c r="I50" s="131">
        <v>0</v>
      </c>
      <c r="J50" s="131">
        <v>576.40000000000009</v>
      </c>
      <c r="K50" s="131">
        <v>0</v>
      </c>
      <c r="L50" s="131">
        <v>514.4</v>
      </c>
      <c r="M50" s="131">
        <v>0</v>
      </c>
      <c r="N50" s="131">
        <v>452.4</v>
      </c>
      <c r="O50" s="131">
        <v>0</v>
      </c>
      <c r="P50" s="131">
        <v>390.40000000000003</v>
      </c>
      <c r="Q50" s="131">
        <v>0</v>
      </c>
      <c r="R50" s="131"/>
      <c r="S50" s="131"/>
      <c r="T50" s="131"/>
      <c r="V50" s="127">
        <f t="shared" si="39"/>
        <v>2019</v>
      </c>
      <c r="W50" s="131">
        <f t="shared" ca="1" si="30"/>
        <v>0</v>
      </c>
      <c r="X50" s="131">
        <f t="shared" ca="1" si="51"/>
        <v>0</v>
      </c>
      <c r="Y50" s="131">
        <f t="shared" ca="1" si="51"/>
        <v>0</v>
      </c>
      <c r="Z50" s="131">
        <f t="shared" ca="1" si="51"/>
        <v>0</v>
      </c>
      <c r="AA50" s="131">
        <f t="shared" ca="1" si="51"/>
        <v>3.1000000000000014</v>
      </c>
      <c r="AB50" s="131">
        <f t="shared" ca="1" si="51"/>
        <v>32.099999999999994</v>
      </c>
      <c r="AC50" s="131">
        <f t="shared" ca="1" si="51"/>
        <v>129.59999999999997</v>
      </c>
      <c r="AD50" s="131">
        <f t="shared" ca="1" si="51"/>
        <v>71.2</v>
      </c>
      <c r="AE50" s="131">
        <f t="shared" ca="1" si="51"/>
        <v>22.3</v>
      </c>
      <c r="AF50" s="131">
        <f t="shared" ca="1" si="51"/>
        <v>5</v>
      </c>
      <c r="AG50" s="131">
        <f t="shared" ca="1" si="51"/>
        <v>0</v>
      </c>
      <c r="AH50" s="131">
        <f t="shared" ca="1" si="51"/>
        <v>0</v>
      </c>
      <c r="AJ50" s="127">
        <f t="shared" si="40"/>
        <v>2019</v>
      </c>
      <c r="AK50" s="131">
        <f t="shared" ca="1" si="46"/>
        <v>0</v>
      </c>
      <c r="AL50" s="131">
        <f t="shared" ca="1" si="46"/>
        <v>0</v>
      </c>
      <c r="AM50" s="131">
        <f t="shared" ca="1" si="46"/>
        <v>0</v>
      </c>
      <c r="AN50" s="131">
        <f t="shared" ca="1" si="46"/>
        <v>0</v>
      </c>
      <c r="AO50" s="131">
        <f t="shared" ca="1" si="46"/>
        <v>10.400000000000002</v>
      </c>
      <c r="AP50" s="131">
        <f t="shared" ca="1" si="46"/>
        <v>59.899999999999991</v>
      </c>
      <c r="AQ50" s="131">
        <f t="shared" ca="1" si="46"/>
        <v>191.6</v>
      </c>
      <c r="AR50" s="131">
        <f t="shared" ca="1" si="46"/>
        <v>125.50000000000001</v>
      </c>
      <c r="AS50" s="131">
        <f t="shared" ca="1" si="46"/>
        <v>50.9</v>
      </c>
      <c r="AT50" s="131">
        <f t="shared" ca="1" si="46"/>
        <v>7.6999999999999993</v>
      </c>
      <c r="AU50" s="131">
        <f t="shared" ca="1" si="46"/>
        <v>0</v>
      </c>
      <c r="AV50" s="131">
        <f t="shared" ca="1" si="46"/>
        <v>0</v>
      </c>
      <c r="AW50" s="147">
        <f t="shared" ca="1" si="8"/>
        <v>445.99999999999994</v>
      </c>
      <c r="AX50" s="127">
        <f t="shared" si="41"/>
        <v>2019</v>
      </c>
      <c r="AY50" s="131">
        <f t="shared" ca="1" si="47"/>
        <v>0</v>
      </c>
      <c r="AZ50" s="131">
        <f t="shared" ca="1" si="47"/>
        <v>0</v>
      </c>
      <c r="BA50" s="131">
        <f t="shared" ca="1" si="47"/>
        <v>0</v>
      </c>
      <c r="BB50" s="131">
        <f t="shared" ca="1" si="47"/>
        <v>0.39999999999999858</v>
      </c>
      <c r="BC50" s="131">
        <f t="shared" ca="1" si="47"/>
        <v>22.3</v>
      </c>
      <c r="BD50" s="131">
        <f t="shared" ca="1" si="47"/>
        <v>103.1</v>
      </c>
      <c r="BE50" s="131">
        <f t="shared" ca="1" si="47"/>
        <v>253.60000000000002</v>
      </c>
      <c r="BF50" s="131">
        <f t="shared" ca="1" si="47"/>
        <v>187.09999999999994</v>
      </c>
      <c r="BG50" s="131">
        <f t="shared" ca="1" si="47"/>
        <v>98.300000000000011</v>
      </c>
      <c r="BH50" s="131">
        <f t="shared" ca="1" si="47"/>
        <v>13.3</v>
      </c>
      <c r="BI50" s="131">
        <f t="shared" ca="1" si="47"/>
        <v>0</v>
      </c>
      <c r="BJ50" s="131">
        <f t="shared" ca="1" si="47"/>
        <v>0</v>
      </c>
      <c r="BL50" s="127">
        <f t="shared" si="42"/>
        <v>2019</v>
      </c>
      <c r="BM50" s="131">
        <f t="shared" ca="1" si="48"/>
        <v>0</v>
      </c>
      <c r="BN50" s="131">
        <f t="shared" ca="1" si="48"/>
        <v>0</v>
      </c>
      <c r="BO50" s="131">
        <f t="shared" ca="1" si="48"/>
        <v>0</v>
      </c>
      <c r="BP50" s="131">
        <f t="shared" ca="1" si="48"/>
        <v>3.8999999999999986</v>
      </c>
      <c r="BQ50" s="131">
        <f t="shared" ca="1" si="48"/>
        <v>47.5</v>
      </c>
      <c r="BR50" s="131">
        <f t="shared" ca="1" si="48"/>
        <v>157.4</v>
      </c>
      <c r="BS50" s="131">
        <f t="shared" ca="1" si="48"/>
        <v>315.60000000000002</v>
      </c>
      <c r="BT50" s="131">
        <f t="shared" ca="1" si="48"/>
        <v>249.09999999999994</v>
      </c>
      <c r="BU50" s="131">
        <f t="shared" ca="1" si="48"/>
        <v>156.19999999999999</v>
      </c>
      <c r="BV50" s="131">
        <f t="shared" ca="1" si="48"/>
        <v>23.799999999999997</v>
      </c>
      <c r="BW50" s="131">
        <f t="shared" ca="1" si="48"/>
        <v>0</v>
      </c>
      <c r="BX50" s="131">
        <f t="shared" ca="1" si="48"/>
        <v>0</v>
      </c>
      <c r="BZ50" s="127">
        <f t="shared" si="43"/>
        <v>2019</v>
      </c>
      <c r="CA50" s="131">
        <f t="shared" ca="1" si="49"/>
        <v>0</v>
      </c>
      <c r="CB50" s="131">
        <f t="shared" ca="1" si="49"/>
        <v>0</v>
      </c>
      <c r="CC50" s="131">
        <f t="shared" ca="1" si="49"/>
        <v>0</v>
      </c>
      <c r="CD50" s="131">
        <f t="shared" ca="1" si="49"/>
        <v>11.399999999999999</v>
      </c>
      <c r="CE50" s="131">
        <f t="shared" ca="1" si="49"/>
        <v>83.399999999999991</v>
      </c>
      <c r="CF50" s="131">
        <f t="shared" ca="1" si="49"/>
        <v>216.00000000000003</v>
      </c>
      <c r="CG50" s="131">
        <f t="shared" ca="1" si="49"/>
        <v>377.60000000000008</v>
      </c>
      <c r="CH50" s="131">
        <f t="shared" ca="1" si="49"/>
        <v>311.09999999999991</v>
      </c>
      <c r="CI50" s="131">
        <f t="shared" ca="1" si="49"/>
        <v>216.19999999999996</v>
      </c>
      <c r="CJ50" s="131">
        <f t="shared" ca="1" si="49"/>
        <v>44.8</v>
      </c>
      <c r="CK50" s="131">
        <f t="shared" ca="1" si="49"/>
        <v>0</v>
      </c>
      <c r="CL50" s="131">
        <f t="shared" ca="1" si="49"/>
        <v>0</v>
      </c>
      <c r="CN50" s="127">
        <f t="shared" si="44"/>
        <v>2019</v>
      </c>
      <c r="CO50" s="131">
        <f t="shared" ca="1" si="50"/>
        <v>0</v>
      </c>
      <c r="CP50" s="131">
        <f t="shared" ca="1" si="50"/>
        <v>0</v>
      </c>
      <c r="CQ50" s="131">
        <f t="shared" ca="1" si="50"/>
        <v>1.3000000000000007</v>
      </c>
      <c r="CR50" s="131">
        <f t="shared" ca="1" si="50"/>
        <v>30.799999999999997</v>
      </c>
      <c r="CS50" s="131">
        <f t="shared" ca="1" si="50"/>
        <v>128.39999999999998</v>
      </c>
      <c r="CT50" s="131">
        <f t="shared" ca="1" si="50"/>
        <v>275.99999999999994</v>
      </c>
      <c r="CU50" s="131">
        <f t="shared" ca="1" si="50"/>
        <v>439.60000000000008</v>
      </c>
      <c r="CV50" s="131">
        <f t="shared" ca="1" si="50"/>
        <v>373.09999999999997</v>
      </c>
      <c r="CW50" s="131">
        <f t="shared" ca="1" si="50"/>
        <v>276.2</v>
      </c>
      <c r="CX50" s="131">
        <f t="shared" ca="1" si="50"/>
        <v>78.499999999999986</v>
      </c>
      <c r="CY50" s="131">
        <f t="shared" ca="1" si="50"/>
        <v>0</v>
      </c>
      <c r="CZ50" s="131">
        <f t="shared" ca="1" si="50"/>
        <v>0</v>
      </c>
      <c r="DB50" s="127">
        <f t="shared" si="45"/>
        <v>2019</v>
      </c>
      <c r="DC50" s="131">
        <f t="shared" ca="1" si="37"/>
        <v>0</v>
      </c>
      <c r="DD50" s="131">
        <f t="shared" ca="1" si="52"/>
        <v>0</v>
      </c>
      <c r="DE50" s="131">
        <f t="shared" ca="1" si="52"/>
        <v>5.3000000000000007</v>
      </c>
      <c r="DF50" s="131">
        <f t="shared" ca="1" si="52"/>
        <v>60.100000000000009</v>
      </c>
      <c r="DG50" s="131">
        <f t="shared" ca="1" si="52"/>
        <v>182.50000000000003</v>
      </c>
      <c r="DH50" s="131">
        <f t="shared" ca="1" si="52"/>
        <v>335.99999999999989</v>
      </c>
      <c r="DI50" s="131">
        <f t="shared" ca="1" si="52"/>
        <v>501.60000000000008</v>
      </c>
      <c r="DJ50" s="131">
        <f t="shared" ca="1" si="52"/>
        <v>435.09999999999997</v>
      </c>
      <c r="DK50" s="131">
        <f t="shared" ca="1" si="52"/>
        <v>336.20000000000005</v>
      </c>
      <c r="DL50" s="131">
        <f t="shared" ca="1" si="52"/>
        <v>123.79999999999998</v>
      </c>
      <c r="DM50" s="131">
        <f t="shared" ca="1" si="52"/>
        <v>0.59999999999999964</v>
      </c>
      <c r="DN50" s="131">
        <f t="shared" ca="1" si="52"/>
        <v>0.69999999999999929</v>
      </c>
    </row>
    <row r="51" spans="1:118" x14ac:dyDescent="0.2">
      <c r="A51" s="127">
        <v>2005</v>
      </c>
      <c r="B51" s="130">
        <v>2</v>
      </c>
      <c r="C51" s="130">
        <v>-2.4285714285714284</v>
      </c>
      <c r="D51" s="131">
        <v>628.00000000000011</v>
      </c>
      <c r="E51" s="131">
        <v>0</v>
      </c>
      <c r="F51" s="131">
        <v>572</v>
      </c>
      <c r="G51" s="131">
        <v>0</v>
      </c>
      <c r="H51" s="131">
        <v>516</v>
      </c>
      <c r="I51" s="131">
        <v>0</v>
      </c>
      <c r="J51" s="131">
        <v>460</v>
      </c>
      <c r="K51" s="131">
        <v>0</v>
      </c>
      <c r="L51" s="131">
        <v>403.99999999999994</v>
      </c>
      <c r="M51" s="131">
        <v>0</v>
      </c>
      <c r="N51" s="131">
        <v>347.99999999999994</v>
      </c>
      <c r="O51" s="131">
        <v>0</v>
      </c>
      <c r="P51" s="131">
        <v>291.99999999999994</v>
      </c>
      <c r="Q51" s="131">
        <v>0</v>
      </c>
      <c r="R51" s="131"/>
      <c r="S51" s="131"/>
      <c r="T51" s="131"/>
      <c r="V51" s="127">
        <f t="shared" si="39"/>
        <v>2020</v>
      </c>
      <c r="W51" s="131">
        <f t="shared" ca="1" si="30"/>
        <v>0</v>
      </c>
      <c r="X51" s="131">
        <f t="shared" ca="1" si="51"/>
        <v>0</v>
      </c>
      <c r="Y51" s="131">
        <f t="shared" ca="1" si="51"/>
        <v>0</v>
      </c>
      <c r="Z51" s="131">
        <f t="shared" ca="1" si="51"/>
        <v>0</v>
      </c>
      <c r="AA51" s="131">
        <f t="shared" ca="1" si="51"/>
        <v>15</v>
      </c>
      <c r="AB51" s="131">
        <f t="shared" ca="1" si="51"/>
        <v>64.7</v>
      </c>
      <c r="AC51" s="131">
        <f t="shared" ca="1" si="51"/>
        <v>143.69999999999999</v>
      </c>
      <c r="AD51" s="131">
        <f t="shared" ca="1" si="51"/>
        <v>67</v>
      </c>
      <c r="AE51" s="131">
        <f t="shared" ca="1" si="51"/>
        <v>11.7</v>
      </c>
      <c r="AF51" s="131">
        <f t="shared" ca="1" si="51"/>
        <v>0</v>
      </c>
      <c r="AG51" s="131">
        <f t="shared" ca="1" si="51"/>
        <v>0</v>
      </c>
      <c r="AH51" s="131">
        <f t="shared" ca="1" si="51"/>
        <v>0</v>
      </c>
      <c r="AJ51" s="127">
        <f t="shared" si="40"/>
        <v>2020</v>
      </c>
      <c r="AK51" s="131">
        <f t="shared" ca="1" si="46"/>
        <v>0</v>
      </c>
      <c r="AL51" s="131">
        <f t="shared" ca="1" si="46"/>
        <v>0</v>
      </c>
      <c r="AM51" s="131">
        <f t="shared" ca="1" si="46"/>
        <v>0</v>
      </c>
      <c r="AN51" s="131">
        <f t="shared" ca="1" si="46"/>
        <v>0</v>
      </c>
      <c r="AO51" s="131">
        <f t="shared" ca="1" si="46"/>
        <v>26.5</v>
      </c>
      <c r="AP51" s="131">
        <f t="shared" ca="1" si="46"/>
        <v>111.3</v>
      </c>
      <c r="AQ51" s="131">
        <f t="shared" ca="1" si="46"/>
        <v>205.7</v>
      </c>
      <c r="AR51" s="131">
        <f t="shared" ca="1" si="46"/>
        <v>124.59999999999998</v>
      </c>
      <c r="AS51" s="131">
        <f t="shared" ca="1" si="46"/>
        <v>28.5</v>
      </c>
      <c r="AT51" s="131">
        <f t="shared" ca="1" si="46"/>
        <v>0.80000000000000071</v>
      </c>
      <c r="AU51" s="131">
        <f t="shared" ca="1" si="46"/>
        <v>1.3999999999999986</v>
      </c>
      <c r="AV51" s="131">
        <f t="shared" ca="1" si="46"/>
        <v>0</v>
      </c>
      <c r="AW51" s="147">
        <f t="shared" ca="1" si="8"/>
        <v>498.79999999999995</v>
      </c>
      <c r="AX51" s="127">
        <f t="shared" si="41"/>
        <v>2020</v>
      </c>
      <c r="AY51" s="131">
        <f t="shared" ca="1" si="47"/>
        <v>0</v>
      </c>
      <c r="AZ51" s="131">
        <f t="shared" ca="1" si="47"/>
        <v>0</v>
      </c>
      <c r="BA51" s="131">
        <f t="shared" ca="1" si="47"/>
        <v>0</v>
      </c>
      <c r="BB51" s="131">
        <f t="shared" ca="1" si="47"/>
        <v>0</v>
      </c>
      <c r="BC51" s="131">
        <f t="shared" ca="1" si="47"/>
        <v>43.2</v>
      </c>
      <c r="BD51" s="131">
        <f t="shared" ca="1" si="47"/>
        <v>164.9</v>
      </c>
      <c r="BE51" s="131">
        <f t="shared" ca="1" si="47"/>
        <v>267.70000000000005</v>
      </c>
      <c r="BF51" s="131">
        <f t="shared" ca="1" si="47"/>
        <v>186.59999999999997</v>
      </c>
      <c r="BG51" s="131">
        <f t="shared" ca="1" si="47"/>
        <v>57.9</v>
      </c>
      <c r="BH51" s="131">
        <f t="shared" ca="1" si="47"/>
        <v>4.9000000000000021</v>
      </c>
      <c r="BI51" s="131">
        <f t="shared" ca="1" si="47"/>
        <v>3.3999999999999986</v>
      </c>
      <c r="BJ51" s="131">
        <f t="shared" ca="1" si="47"/>
        <v>0</v>
      </c>
      <c r="BL51" s="127">
        <f t="shared" si="42"/>
        <v>2020</v>
      </c>
      <c r="BM51" s="131">
        <f t="shared" ca="1" si="48"/>
        <v>0</v>
      </c>
      <c r="BN51" s="131">
        <f t="shared" ca="1" si="48"/>
        <v>0</v>
      </c>
      <c r="BO51" s="131">
        <f t="shared" ca="1" si="48"/>
        <v>0</v>
      </c>
      <c r="BP51" s="131">
        <f t="shared" ca="1" si="48"/>
        <v>2.7000000000000011</v>
      </c>
      <c r="BQ51" s="131">
        <f t="shared" ca="1" si="48"/>
        <v>69.8</v>
      </c>
      <c r="BR51" s="131">
        <f t="shared" ca="1" si="48"/>
        <v>220.5</v>
      </c>
      <c r="BS51" s="131">
        <f t="shared" ca="1" si="48"/>
        <v>329.7</v>
      </c>
      <c r="BT51" s="131">
        <f t="shared" ca="1" si="48"/>
        <v>248.59999999999997</v>
      </c>
      <c r="BU51" s="131">
        <f t="shared" ca="1" si="48"/>
        <v>98.6</v>
      </c>
      <c r="BV51" s="131">
        <f t="shared" ca="1" si="48"/>
        <v>14.500000000000002</v>
      </c>
      <c r="BW51" s="131">
        <f t="shared" ca="1" si="48"/>
        <v>6.3999999999999986</v>
      </c>
      <c r="BX51" s="131">
        <f t="shared" ca="1" si="48"/>
        <v>0</v>
      </c>
      <c r="BZ51" s="127">
        <f t="shared" si="43"/>
        <v>2020</v>
      </c>
      <c r="CA51" s="131">
        <f t="shared" ca="1" si="49"/>
        <v>0</v>
      </c>
      <c r="CB51" s="131">
        <f t="shared" ca="1" si="49"/>
        <v>0</v>
      </c>
      <c r="CC51" s="131">
        <f t="shared" ca="1" si="49"/>
        <v>0.69999999999999929</v>
      </c>
      <c r="CD51" s="131">
        <f t="shared" ca="1" si="49"/>
        <v>9.4000000000000021</v>
      </c>
      <c r="CE51" s="131">
        <f t="shared" ca="1" si="49"/>
        <v>104.19999999999999</v>
      </c>
      <c r="CF51" s="131">
        <f t="shared" ca="1" si="49"/>
        <v>280.5</v>
      </c>
      <c r="CG51" s="131">
        <f t="shared" ca="1" si="49"/>
        <v>391.69999999999993</v>
      </c>
      <c r="CH51" s="131">
        <f t="shared" ca="1" si="49"/>
        <v>310.59999999999997</v>
      </c>
      <c r="CI51" s="131">
        <f t="shared" ca="1" si="49"/>
        <v>149.4</v>
      </c>
      <c r="CJ51" s="131">
        <f t="shared" ca="1" si="49"/>
        <v>31.000000000000004</v>
      </c>
      <c r="CK51" s="131">
        <f t="shared" ca="1" si="49"/>
        <v>18.199999999999996</v>
      </c>
      <c r="CL51" s="131">
        <f t="shared" ca="1" si="49"/>
        <v>0</v>
      </c>
      <c r="CN51" s="127">
        <f t="shared" si="44"/>
        <v>2020</v>
      </c>
      <c r="CO51" s="131">
        <f t="shared" ca="1" si="50"/>
        <v>0</v>
      </c>
      <c r="CP51" s="131">
        <f t="shared" ca="1" si="50"/>
        <v>0</v>
      </c>
      <c r="CQ51" s="131">
        <f t="shared" ca="1" si="50"/>
        <v>4.0999999999999996</v>
      </c>
      <c r="CR51" s="131">
        <f t="shared" ca="1" si="50"/>
        <v>18.800000000000004</v>
      </c>
      <c r="CS51" s="131">
        <f t="shared" ca="1" si="50"/>
        <v>145.79999999999998</v>
      </c>
      <c r="CT51" s="131">
        <f t="shared" ca="1" si="50"/>
        <v>340.5</v>
      </c>
      <c r="CU51" s="131">
        <f t="shared" ca="1" si="50"/>
        <v>453.7</v>
      </c>
      <c r="CV51" s="131">
        <f t="shared" ca="1" si="50"/>
        <v>372.59999999999991</v>
      </c>
      <c r="CW51" s="131">
        <f t="shared" ca="1" si="50"/>
        <v>206.5</v>
      </c>
      <c r="CX51" s="131">
        <f t="shared" ca="1" si="50"/>
        <v>57.7</v>
      </c>
      <c r="CY51" s="131">
        <f t="shared" ca="1" si="50"/>
        <v>34.999999999999993</v>
      </c>
      <c r="CZ51" s="131">
        <f t="shared" ca="1" si="50"/>
        <v>0</v>
      </c>
      <c r="DB51" s="127">
        <f t="shared" si="45"/>
        <v>2020</v>
      </c>
      <c r="DC51" s="131">
        <f t="shared" ca="1" si="37"/>
        <v>0</v>
      </c>
      <c r="DD51" s="131">
        <f t="shared" ca="1" si="52"/>
        <v>0</v>
      </c>
      <c r="DE51" s="131">
        <f t="shared" ca="1" si="52"/>
        <v>10.5</v>
      </c>
      <c r="DF51" s="131">
        <f t="shared" ca="1" si="52"/>
        <v>31.999999999999996</v>
      </c>
      <c r="DG51" s="131">
        <f t="shared" ca="1" si="52"/>
        <v>190.79999999999998</v>
      </c>
      <c r="DH51" s="131">
        <f t="shared" ca="1" si="52"/>
        <v>400.5</v>
      </c>
      <c r="DI51" s="131">
        <f t="shared" ca="1" si="52"/>
        <v>515.69999999999993</v>
      </c>
      <c r="DJ51" s="131">
        <f t="shared" ca="1" si="52"/>
        <v>434.59999999999997</v>
      </c>
      <c r="DK51" s="131">
        <f t="shared" ca="1" si="52"/>
        <v>266.5</v>
      </c>
      <c r="DL51" s="131">
        <f t="shared" ca="1" si="52"/>
        <v>93.59999999999998</v>
      </c>
      <c r="DM51" s="131">
        <f t="shared" ca="1" si="52"/>
        <v>55.8</v>
      </c>
      <c r="DN51" s="131">
        <f t="shared" ca="1" si="52"/>
        <v>0</v>
      </c>
    </row>
    <row r="52" spans="1:118" ht="15" x14ac:dyDescent="0.25">
      <c r="A52" s="127">
        <v>2005</v>
      </c>
      <c r="B52" s="130">
        <v>3</v>
      </c>
      <c r="C52" s="130">
        <v>0.40967741935483876</v>
      </c>
      <c r="D52" s="131">
        <v>607.30000000000007</v>
      </c>
      <c r="E52" s="131">
        <v>0</v>
      </c>
      <c r="F52" s="131">
        <v>545.30000000000007</v>
      </c>
      <c r="G52" s="131">
        <v>0</v>
      </c>
      <c r="H52" s="131">
        <v>483.30000000000007</v>
      </c>
      <c r="I52" s="131">
        <v>0</v>
      </c>
      <c r="J52" s="131">
        <v>421.3</v>
      </c>
      <c r="K52" s="131">
        <v>0</v>
      </c>
      <c r="L52" s="131">
        <v>359.3</v>
      </c>
      <c r="M52" s="131">
        <v>0</v>
      </c>
      <c r="N52" s="131">
        <v>299.99999999999994</v>
      </c>
      <c r="O52" s="131">
        <v>2.7000000000000011</v>
      </c>
      <c r="P52" s="131">
        <v>242.00000000000003</v>
      </c>
      <c r="Q52" s="131">
        <v>6.7000000000000011</v>
      </c>
      <c r="R52" s="131"/>
      <c r="S52" s="131"/>
      <c r="T52" s="131"/>
      <c r="V52" s="135">
        <f>V51+1</f>
        <v>2021</v>
      </c>
      <c r="W52" s="138">
        <f ca="1">MAX(TREND(W$32:W$51,V$32:V$51,V52),0)</f>
        <v>0</v>
      </c>
      <c r="X52" s="138">
        <f ca="1">MAX(TREND(X$32:X$51,V$32:V$51,V52),0)</f>
        <v>0</v>
      </c>
      <c r="Y52" s="138">
        <f ca="1">MAX(TREND(Y$32:Y$51,V$32:V$51,V52),0)</f>
        <v>0</v>
      </c>
      <c r="Z52" s="138">
        <f ca="1">MAX(TREND(Z$32:Z$51,V$32:V$51,V52),0)</f>
        <v>0</v>
      </c>
      <c r="AA52" s="138">
        <f ca="1">MAX(TREND(AA$32:AA$51,V$32:V$51,V52),0)</f>
        <v>20.524736842105312</v>
      </c>
      <c r="AB52" s="138">
        <f ca="1">MAX(TREND(AB$32:AB$51,V$32:V$51,V52),0)</f>
        <v>50.021052631579096</v>
      </c>
      <c r="AC52" s="138">
        <f ca="1">MAX(TREND(AC$32:AC$51,V$32:V$51,V52),0)</f>
        <v>111.11315789473682</v>
      </c>
      <c r="AD52" s="138">
        <f ca="1">MAX(TREND(AD$32:AD$51,V$32:V$51,V52),0)</f>
        <v>67.231578947368234</v>
      </c>
      <c r="AE52" s="138">
        <f ca="1">MAX(TREND(AE$32:AE$51,V$32:V$51,V52),0)</f>
        <v>27.583157894736829</v>
      </c>
      <c r="AF52" s="138">
        <f ca="1">MAX(TREND(AF$32:AF$51,V$32:V$51,V52),0)</f>
        <v>2.9684210526315837</v>
      </c>
      <c r="AG52" s="138">
        <f ca="1">MAX(TREND(AG$32:AG$51,V$32:V$51,V52),0)</f>
        <v>0</v>
      </c>
      <c r="AH52" s="138">
        <f ca="1">MAX(TREND(AH$32:AH$51,V$32:V$51,V52),0)</f>
        <v>0</v>
      </c>
      <c r="AJ52" s="135">
        <f>AJ51+1</f>
        <v>2021</v>
      </c>
      <c r="AK52" s="138">
        <f ca="1">MAX(TREND(AK$32:AK$51,AJ$32:AJ$51,AJ52),0)</f>
        <v>0</v>
      </c>
      <c r="AL52" s="138">
        <f ca="1">MAX(TREND(AL$32:AL$51,AJ$32:AJ$51,AJ52),0)</f>
        <v>0</v>
      </c>
      <c r="AM52" s="138">
        <f ca="1">MAX(TREND(AM$32:AM$51,AJ$32:AJ$51,AJ52),0)</f>
        <v>0.43368421052631234</v>
      </c>
      <c r="AN52" s="138">
        <f ca="1">MAX(TREND(AN$32:AN$51,AJ$32:AJ$51,AJ52),0)</f>
        <v>0</v>
      </c>
      <c r="AO52" s="138">
        <f ca="1">MAX(TREND(AO$32:AO$51,AJ$32:AJ$51,AJ52),0)</f>
        <v>38.300526315789512</v>
      </c>
      <c r="AP52" s="138">
        <f ca="1">MAX(TREND(AP$32:AP$51,AJ$32:AJ$51,AJ52),0)</f>
        <v>92.022631578947312</v>
      </c>
      <c r="AQ52" s="138">
        <f ca="1">MAX(TREND(AQ$32:AQ$51,AJ$32:AJ$51,AJ52),0)</f>
        <v>168.5336842105263</v>
      </c>
      <c r="AR52" s="138">
        <f ca="1">MAX(TREND(AR$32:AR$51,AJ$32:AJ$51,AJ52),0)</f>
        <v>121.57105263157882</v>
      </c>
      <c r="AS52" s="138">
        <f ca="1">MAX(TREND(AS$32:AS$51,AJ$32:AJ$51,AJ52),0)</f>
        <v>51.081052631578928</v>
      </c>
      <c r="AT52" s="138">
        <f ca="1">MAX(TREND(AT$32:AT$51,AJ$32:AJ$51,AJ52),0)</f>
        <v>8.129999999999999</v>
      </c>
      <c r="AU52" s="138">
        <f ca="1">MAX(TREND(AU$32:AU$51,AJ$32:AJ$51,AJ52),0)</f>
        <v>0.28000000000000114</v>
      </c>
      <c r="AV52" s="138">
        <f ca="1">MAX(TREND(AV$32:AV$51,AJ$32:AJ$51,AJ52),0)</f>
        <v>0</v>
      </c>
      <c r="AW52" s="147">
        <f t="shared" ca="1" si="8"/>
        <v>480.35263157894713</v>
      </c>
      <c r="AX52" s="135">
        <f>AX51+1</f>
        <v>2021</v>
      </c>
      <c r="AY52" s="138">
        <f ca="1">MAX(TREND(AY$32:AY$51,AX$32:AX$51,AX52),0)</f>
        <v>0</v>
      </c>
      <c r="AZ52" s="138">
        <f ca="1">MAX(TREND(AZ$32:AZ$51,AX$32:AX$51,AX52),0)</f>
        <v>0</v>
      </c>
      <c r="BA52" s="138">
        <f ca="1">MAX(TREND(BA$32:BA$51,AX$32:AX$51,AX52),0)</f>
        <v>1.1400000000000006</v>
      </c>
      <c r="BB52" s="138" cm="1">
        <f t="array" aca="1" ref="BB52" ca="1">TREND(BB$32:BB$51,AX$32:AX$51,AX52)</f>
        <v>-1.3478947368421359</v>
      </c>
      <c r="BC52" s="138">
        <f ca="1">MAX(TREND(BC$32:BC$51,AX$32:AX$51,AX52),0)</f>
        <v>64.411578947368525</v>
      </c>
      <c r="BD52" s="138">
        <f ca="1">MAX(TREND(BD$32:BD$51,AX$32:AX$51,AX52),0)</f>
        <v>144.38684210526321</v>
      </c>
      <c r="BE52" s="138">
        <f ca="1">MAX(TREND(BE$32:BE$51,AX$32:AX$51,AX52),0)</f>
        <v>229.75578947368425</v>
      </c>
      <c r="BF52" s="138">
        <f ca="1">MAX(TREND(BF$32:BF$51,AX$32:AX$51,AX52),0)</f>
        <v>181.17526315789428</v>
      </c>
      <c r="BG52" s="138">
        <f ca="1">MAX(TREND(BG$32:BG$51,AX$32:AX$51,AX52),0)</f>
        <v>86.74473684210534</v>
      </c>
      <c r="BH52" s="138">
        <f ca="1">MAX(TREND(BH$32:BH$51,AX$32:AX$51,AX52),0)</f>
        <v>18.034210526315789</v>
      </c>
      <c r="BI52" s="138">
        <f ca="1">MAX(TREND(BI$32:BI$51,AX$32:AX$51,AX52),0)</f>
        <v>0.78052631578947285</v>
      </c>
      <c r="BJ52" s="138">
        <f ca="1">MAX(TREND(BJ$32:BJ$51,AX$32:AX$51,AX52),0)</f>
        <v>0</v>
      </c>
      <c r="BL52" s="135">
        <f>BL51+1</f>
        <v>2021</v>
      </c>
      <c r="BM52" s="138">
        <f ca="1">MAX(TREND(BM$32:BM$51,BL$32:BL$51,BL52),0)</f>
        <v>0</v>
      </c>
      <c r="BN52" s="138">
        <f ca="1">MAX(TREND(BN$32:BN$51,BL$32:BL$51,BL52),0)</f>
        <v>0</v>
      </c>
      <c r="BO52" s="138">
        <f ca="1">MAX(TREND(BO$32:BO$51,BL$32:BL$51,BL52),0)</f>
        <v>2.5126315789473637</v>
      </c>
      <c r="BP52" s="138">
        <f ca="1">MAX(TREND(BP$32:BP$51,BL$32:BL$51,BL52),0)</f>
        <v>1.468421052631129</v>
      </c>
      <c r="BQ52" s="138">
        <f ca="1">MAX(TREND(BQ$32:BQ$51,BL$32:BL$51,BL52),0)</f>
        <v>99.705263157894933</v>
      </c>
      <c r="BR52" s="138">
        <f ca="1">MAX(TREND(BR$32:BR$51,BL$32:BL$51,BL52),0)</f>
        <v>202.61736842105256</v>
      </c>
      <c r="BS52" s="138">
        <f ca="1">MAX(TREND(BS$32:BS$51,BL$32:BL$51,BL52),0)</f>
        <v>291.85157894736847</v>
      </c>
      <c r="BT52" s="138">
        <f ca="1">MAX(TREND(BT$32:BT$51,BL$32:BL$51,BL52),0)</f>
        <v>242.81473684210505</v>
      </c>
      <c r="BU52" s="138">
        <f ca="1">MAX(TREND(BU$32:BU$51,BL$32:BL$51,BL52),0)</f>
        <v>133.60578947368413</v>
      </c>
      <c r="BV52" s="138">
        <f ca="1">MAX(TREND(BV$32:BV$51,BL$32:BL$51,BL52),0)</f>
        <v>34.830526315789427</v>
      </c>
      <c r="BW52" s="138">
        <f ca="1">MAX(TREND(BW$32:BW$51,BL$32:BL$51,BL52),0)</f>
        <v>2.2531578947368445</v>
      </c>
      <c r="BX52" s="138">
        <f ca="1">MAX(TREND(BX$32:BX$51,BL$32:BL$51,BL52),0)</f>
        <v>0</v>
      </c>
      <c r="BZ52" s="135">
        <f>BZ51+1</f>
        <v>2021</v>
      </c>
      <c r="CA52" s="138">
        <f ca="1">MAX(TREND(CA$32:CA$51,BZ$32:BZ$51,BZ52),0)</f>
        <v>2.2105263157895294E-2</v>
      </c>
      <c r="CB52" s="138">
        <f ca="1">MAX(TREND(CB$32:CB$51,BZ$32:BZ$51,BZ52),0)</f>
        <v>0.16842105263157947</v>
      </c>
      <c r="CC52" s="138">
        <f ca="1">MAX(TREND(CC$32:CC$51,BZ$32:BZ$51,BZ52),0)</f>
        <v>4.9652631578947535</v>
      </c>
      <c r="CD52" s="138">
        <f ca="1">MAX(TREND(CD$32:CD$51,BZ$32:BZ$51,BZ52),0)</f>
        <v>8.47263157894713</v>
      </c>
      <c r="CE52" s="138">
        <f ca="1">MAX(TREND(CE$32:CE$51,BZ$32:BZ$51,BZ52),0)</f>
        <v>143.16052631578987</v>
      </c>
      <c r="CF52" s="138">
        <f ca="1">MAX(TREND(CF$32:CF$51,BZ$32:BZ$51,BZ52),0)</f>
        <v>262.47789473684213</v>
      </c>
      <c r="CG52" s="138">
        <f ca="1">MAX(TREND(CG$32:CG$51,BZ$32:BZ$51,BZ52),0)</f>
        <v>353.85157894736852</v>
      </c>
      <c r="CH52" s="138">
        <f ca="1">MAX(TREND(CH$32:CH$51,BZ$32:BZ$51,BZ52),0)</f>
        <v>304.81473684210505</v>
      </c>
      <c r="CI52" s="138">
        <f ca="1">MAX(TREND(CI$32:CI$51,BZ$32:BZ$51,BZ52),0)</f>
        <v>188.15052631578919</v>
      </c>
      <c r="CJ52" s="138">
        <f ca="1">MAX(TREND(CJ$32:CJ$51,BZ$32:BZ$51,BZ52),0)</f>
        <v>58.466315789473697</v>
      </c>
      <c r="CK52" s="138">
        <f ca="1">MAX(TREND(CK$32:CK$51,BZ$32:BZ$51,BZ52),0)</f>
        <v>5.7589473684210519</v>
      </c>
      <c r="CL52" s="138">
        <f ca="1">MAX(TREND(CL$32:CL$51,BZ$32:BZ$51,BZ52),0)</f>
        <v>0</v>
      </c>
      <c r="CN52" s="135">
        <f>CN51+1</f>
        <v>2021</v>
      </c>
      <c r="CO52" s="138">
        <f ca="1">MAX(TREND(CO$32:CO$51,CN$32:CN$51,CN52),0)</f>
        <v>0.1178947368421035</v>
      </c>
      <c r="CP52" s="138">
        <f ca="1">MAX(TREND(CP$32:CP$51,CN$32:CN$51,CN52),0)</f>
        <v>1.1768421052631481</v>
      </c>
      <c r="CQ52" s="138">
        <f ca="1">MAX(TREND(CQ$32:CQ$51,CN$32:CN$51,CN52),0)</f>
        <v>9.3710526315789195</v>
      </c>
      <c r="CR52" s="138">
        <f ca="1">MAX(TREND(CR$32:CR$51,CN$32:CN$51,CN52),0)</f>
        <v>21.884210526316565</v>
      </c>
      <c r="CS52" s="138">
        <f ca="1">MAX(TREND(CS$32:CS$51,CN$32:CN$51,CN52),0)</f>
        <v>192.83789473684192</v>
      </c>
      <c r="CT52" s="138">
        <f ca="1">MAX(TREND(CT$32:CT$51,CN$32:CN$51,CN52),0)</f>
        <v>322.47052631578958</v>
      </c>
      <c r="CU52" s="138">
        <f ca="1">MAX(TREND(CU$32:CU$51,CN$32:CN$51,CN52),0)</f>
        <v>415.85157894736852</v>
      </c>
      <c r="CV52" s="138">
        <f ca="1">MAX(TREND(CV$32:CV$51,CN$32:CN$51,CN52),0)</f>
        <v>366.8147368421055</v>
      </c>
      <c r="CW52" s="138">
        <f ca="1">MAX(TREND(CW$32:CW$51,CN$32:CN$51,CN52),0)</f>
        <v>247.30684210526306</v>
      </c>
      <c r="CX52" s="138">
        <f ca="1">MAX(TREND(CX$32:CX$51,CN$32:CN$51,CN52),0)</f>
        <v>91.287368421052633</v>
      </c>
      <c r="CY52" s="138">
        <f ca="1">MAX(TREND(CY$32:CY$51,CN$32:CN$51,CN52),0)</f>
        <v>11.062631578947389</v>
      </c>
      <c r="CZ52" s="138">
        <f ca="1">MAX(TREND(CZ$32:CZ$51,CN$32:CN$51,CN52),0)</f>
        <v>0.20052631578947455</v>
      </c>
      <c r="DB52" s="135">
        <f>DB51+1</f>
        <v>2021</v>
      </c>
      <c r="DC52" s="138">
        <f ca="1">MAX(TREND(DC$32:DC$51,DB$32:DB$51,DB52),0)</f>
        <v>0.58052631578947711</v>
      </c>
      <c r="DD52" s="138">
        <f ca="1">MAX(TREND(DD$32:DD$51,DB$32:DB$51,DB52),0)</f>
        <v>3.5121052631578777</v>
      </c>
      <c r="DE52" s="138">
        <f ca="1">MAX(TREND(DE$32:DE$51,DB$32:DB$51,DB52),0)</f>
        <v>15.743684210526318</v>
      </c>
      <c r="DF52" s="138">
        <f ca="1">MAX(TREND(DF$32:DF$51,DB$32:DB$51,DB52),0)</f>
        <v>44.540526315789066</v>
      </c>
      <c r="DG52" s="138">
        <f ca="1">MAX(TREND(DG$32:DG$51,DB$32:DB$51,DB52),0)</f>
        <v>247.17578947368429</v>
      </c>
      <c r="DH52" s="138">
        <f ca="1">MAX(TREND(DH$32:DH$51,DB$32:DB$51,DB52),0)</f>
        <v>382.47052631578947</v>
      </c>
      <c r="DI52" s="138">
        <f ca="1">MAX(TREND(DI$32:DI$51,DB$32:DB$51,DB52),0)</f>
        <v>477.85157894736858</v>
      </c>
      <c r="DJ52" s="138">
        <f ca="1">MAX(TREND(DJ$32:DJ$51,DB$32:DB$51,DB52),0)</f>
        <v>428.8147368421055</v>
      </c>
      <c r="DK52" s="138">
        <f ca="1">MAX(TREND(DK$32:DK$51,DB$32:DB$51,DB52),0)</f>
        <v>307.68052631578962</v>
      </c>
      <c r="DL52" s="138">
        <f ca="1">MAX(TREND(DL$32:DL$51,DB$32:DB$51,DB52),0)</f>
        <v>133.85684210526324</v>
      </c>
      <c r="DM52" s="138">
        <f ca="1">MAX(TREND(DM$32:DM$51,DB$32:DB$51,DB52),0)</f>
        <v>20.304210526315728</v>
      </c>
      <c r="DN52" s="138">
        <f ca="1">MAX(TREND(DN$32:DN$51,DB$32:DB$51,DB52),0)</f>
        <v>1.5094736842105476</v>
      </c>
    </row>
    <row r="53" spans="1:118" ht="15" x14ac:dyDescent="0.25">
      <c r="A53" s="127">
        <v>2005</v>
      </c>
      <c r="B53" s="130">
        <v>4</v>
      </c>
      <c r="C53" s="130">
        <v>9.9633333333333347</v>
      </c>
      <c r="D53" s="131">
        <v>301.09999999999997</v>
      </c>
      <c r="E53" s="131">
        <v>0</v>
      </c>
      <c r="F53" s="131">
        <v>242.5</v>
      </c>
      <c r="G53" s="131">
        <v>1.3999999999999986</v>
      </c>
      <c r="H53" s="131">
        <v>185.6</v>
      </c>
      <c r="I53" s="131">
        <v>4.5</v>
      </c>
      <c r="J53" s="131">
        <v>132.1</v>
      </c>
      <c r="K53" s="131">
        <v>11</v>
      </c>
      <c r="L53" s="131">
        <v>84</v>
      </c>
      <c r="M53" s="131">
        <v>22.9</v>
      </c>
      <c r="N53" s="131">
        <v>40.70000000000001</v>
      </c>
      <c r="O53" s="131">
        <v>39.6</v>
      </c>
      <c r="P53" s="131">
        <v>16.5</v>
      </c>
      <c r="Q53" s="131">
        <v>75.400000000000006</v>
      </c>
      <c r="R53" s="131"/>
      <c r="S53" s="131"/>
      <c r="T53" s="131"/>
      <c r="V53" s="135">
        <f>V52+1</f>
        <v>2022</v>
      </c>
      <c r="W53" s="138">
        <f ca="1">MAX(TREND(W$32:W$51,V$32:V$51,V53),0)</f>
        <v>0</v>
      </c>
      <c r="X53" s="138">
        <f ca="1">MAX(TREND(X$32:X$51,V$32:V$51,V53),0)</f>
        <v>0</v>
      </c>
      <c r="Y53" s="138">
        <f ca="1">MAX(TREND(Y$32:Y$51,V$32:V$51,V53),0)</f>
        <v>0</v>
      </c>
      <c r="Z53" s="138">
        <f ca="1">MAX(TREND(Z$32:Z$51,V$32:V$51,V53),0)</f>
        <v>0</v>
      </c>
      <c r="AA53" s="138">
        <f ca="1">MAX(TREND(AA$32:AA$51,V$32:V$51,V53),0)</f>
        <v>21.092330827067599</v>
      </c>
      <c r="AB53" s="138">
        <f ca="1">MAX(TREND(AB$32:AB$51,V$32:V$51,V53),0)</f>
        <v>49.086390977443671</v>
      </c>
      <c r="AC53" s="138">
        <f ca="1">MAX(TREND(AC$32:AC$51,V$32:V$51,V53),0)</f>
        <v>111.20631578947365</v>
      </c>
      <c r="AD53" s="138">
        <f ca="1">MAX(TREND(AD$32:AD$51,V$32:V$51,V53),0)</f>
        <v>65.787443609022375</v>
      </c>
      <c r="AE53" s="138">
        <f ca="1">MAX(TREND(AE$32:AE$51,V$32:V$51,V53),0)</f>
        <v>27.536315789473676</v>
      </c>
      <c r="AF53" s="138">
        <f ca="1">MAX(TREND(AF$32:AF$51,V$32:V$51,V53),0)</f>
        <v>2.9354135338345912</v>
      </c>
      <c r="AG53" s="138">
        <f ca="1">MAX(TREND(AG$32:AG$51,V$32:V$51,V53),0)</f>
        <v>0</v>
      </c>
      <c r="AH53" s="138">
        <f ca="1">MAX(TREND(AH$32:AH$51,V$32:V$51,V53),0)</f>
        <v>0</v>
      </c>
      <c r="AJ53" s="135">
        <f>AJ52+1</f>
        <v>2022</v>
      </c>
      <c r="AK53" s="138">
        <f ca="1">MAX(TREND(AK$32:AK$51,AJ$32:AJ$51,AJ53),0)</f>
        <v>0</v>
      </c>
      <c r="AL53" s="138">
        <f ca="1">MAX(TREND(AL$32:AL$51,AJ$32:AJ$51,AJ53),0)</f>
        <v>0</v>
      </c>
      <c r="AM53" s="138">
        <f ca="1">MAX(TREND(AM$32:AM$51,AJ$32:AJ$51,AJ53),0)</f>
        <v>0.44593984962405742</v>
      </c>
      <c r="AN53" s="138">
        <f ca="1">MAX(TREND(AN$32:AN$51,AJ$32:AJ$51,AJ53),0)</f>
        <v>0</v>
      </c>
      <c r="AO53" s="138">
        <f ca="1">MAX(TREND(AO$32:AO$51,AJ$32:AJ$51,AJ53),0)</f>
        <v>39.205338345864675</v>
      </c>
      <c r="AP53" s="138">
        <f ca="1">MAX(TREND(AP$32:AP$51,AJ$32:AJ$51,AJ53),0)</f>
        <v>91.148120300751771</v>
      </c>
      <c r="AQ53" s="138">
        <f ca="1">MAX(TREND(AQ$32:AQ$51,AJ$32:AJ$51,AJ53),0)</f>
        <v>168.64593984962406</v>
      </c>
      <c r="AR53" s="138">
        <f ca="1">MAX(TREND(AR$32:AR$51,AJ$32:AJ$51,AJ53),0)</f>
        <v>120.08781954887218</v>
      </c>
      <c r="AS53" s="138">
        <f ca="1">MAX(TREND(AS$32:AS$51,AJ$32:AJ$51,AJ53),0)</f>
        <v>50.709248120300686</v>
      </c>
      <c r="AT53" s="138">
        <f ca="1">MAX(TREND(AT$32:AT$51,AJ$32:AJ$51,AJ53),0)</f>
        <v>8.1342857142857135</v>
      </c>
      <c r="AU53" s="138">
        <f ca="1">MAX(TREND(AU$32:AU$51,AJ$32:AJ$51,AJ53),0)</f>
        <v>0.30000000000000426</v>
      </c>
      <c r="AV53" s="138">
        <f ca="1">MAX(TREND(AV$32:AV$51,AJ$32:AJ$51,AJ53),0)</f>
        <v>0</v>
      </c>
      <c r="AW53" s="147">
        <f t="shared" ca="1" si="8"/>
        <v>478.67669172932318</v>
      </c>
      <c r="AX53" s="135">
        <f>AX52+1</f>
        <v>2022</v>
      </c>
      <c r="AY53" s="138">
        <f ca="1">MAX(TREND(AY$32:AY$51,AX$32:AX$51,AX53),0)</f>
        <v>0</v>
      </c>
      <c r="AZ53" s="138">
        <f ca="1">MAX(TREND(AZ$32:AZ$51,AX$32:AX$51,AX53),0)</f>
        <v>0</v>
      </c>
      <c r="BA53" s="138">
        <f ca="1">MAX(TREND(BA$32:BA$51,AX$32:AX$51,AX53),0)</f>
        <v>1.1585714285714275</v>
      </c>
      <c r="BB53" s="138">
        <f ca="1">MAX(TREND(BB$32:BB$51,AX$32:AX$51,AX53),0)</f>
        <v>0</v>
      </c>
      <c r="BC53" s="138">
        <f ca="1">MAX(TREND(BC$32:BC$51,AX$32:AX$51,AX53),0)</f>
        <v>65.723157894736687</v>
      </c>
      <c r="BD53" s="138">
        <f ca="1">MAX(TREND(BD$32:BD$51,AX$32:AX$51,AX53),0)</f>
        <v>143.67225563909778</v>
      </c>
      <c r="BE53" s="138">
        <f ca="1">MAX(TREND(BE$32:BE$51,AX$32:AX$51,AX53),0)</f>
        <v>229.87586466165419</v>
      </c>
      <c r="BF53" s="138">
        <f ca="1">MAX(TREND(BF$32:BF$51,AX$32:AX$51,AX53),0)</f>
        <v>179.64481203007472</v>
      </c>
      <c r="BG53" s="138">
        <f ca="1">MAX(TREND(BG$32:BG$51,AX$32:AX$51,AX53),0)</f>
        <v>86.089473684210589</v>
      </c>
      <c r="BH53" s="138">
        <f ca="1">MAX(TREND(BH$32:BH$51,AX$32:AX$51,AX53),0)</f>
        <v>18.094135338345865</v>
      </c>
      <c r="BI53" s="138">
        <f ca="1">MAX(TREND(BI$32:BI$51,AX$32:AX$51,AX53),0)</f>
        <v>0.83105263157894171</v>
      </c>
      <c r="BJ53" s="138">
        <f ca="1">MAX(TREND(BJ$32:BJ$51,AX$32:AX$51,AX53),0)</f>
        <v>0</v>
      </c>
      <c r="BL53" s="135">
        <f>BL52+1</f>
        <v>2022</v>
      </c>
      <c r="BM53" s="138">
        <f ca="1">MAX(TREND(BM$32:BM$51,BL$32:BL$51,BL53),0)</f>
        <v>0</v>
      </c>
      <c r="BN53" s="138">
        <f ca="1">MAX(TREND(BN$32:BN$51,BL$32:BL$51,BL53),0)</f>
        <v>0</v>
      </c>
      <c r="BO53" s="138">
        <f ca="1">MAX(TREND(BO$32:BO$51,BL$32:BL$51,BL53),0)</f>
        <v>2.5552631578947285</v>
      </c>
      <c r="BP53" s="138">
        <f ca="1">MAX(TREND(BP$32:BP$51,BL$32:BL$51,BL53),0)</f>
        <v>0.28541353383434398</v>
      </c>
      <c r="BQ53" s="138">
        <f ca="1">MAX(TREND(BQ$32:BQ$51,BL$32:BL$51,BL53),0)</f>
        <v>101.40338345864666</v>
      </c>
      <c r="BR53" s="138">
        <f ca="1">MAX(TREND(BR$32:BR$51,BL$32:BL$51,BL53),0)</f>
        <v>202.06330827067654</v>
      </c>
      <c r="BS53" s="138">
        <f ca="1">MAX(TREND(BS$32:BS$51,BL$32:BL$51,BL53),0)</f>
        <v>291.98744360902259</v>
      </c>
      <c r="BT53" s="138">
        <f ca="1">MAX(TREND(BT$32:BT$51,BL$32:BL$51,BL53),0)</f>
        <v>241.26947368421042</v>
      </c>
      <c r="BU53" s="138">
        <f ca="1">MAX(TREND(BU$32:BU$51,BL$32:BL$51,BL53),0)</f>
        <v>132.79300751879691</v>
      </c>
      <c r="BV53" s="138">
        <f ca="1">MAX(TREND(BV$32:BV$51,BL$32:BL$51,BL53),0)</f>
        <v>35.001052631578887</v>
      </c>
      <c r="BW53" s="138">
        <f ca="1">MAX(TREND(BW$32:BW$51,BL$32:BL$51,BL53),0)</f>
        <v>2.3163157894736912</v>
      </c>
      <c r="BX53" s="138">
        <f ca="1">MAX(TREND(BX$32:BX$51,BL$32:BL$51,BL53),0)</f>
        <v>0</v>
      </c>
      <c r="BZ53" s="135">
        <f>BZ52+1</f>
        <v>2022</v>
      </c>
      <c r="CA53" s="138">
        <f ca="1">MAX(TREND(CA$32:CA$51,BZ$32:BZ$51,BZ53),0)</f>
        <v>1.4210526315789451E-2</v>
      </c>
      <c r="CB53" s="138">
        <f ca="1">MAX(TREND(CB$32:CB$51,BZ$32:BZ$51,BZ53),0)</f>
        <v>0.17969924812030058</v>
      </c>
      <c r="CC53" s="138">
        <f ca="1">MAX(TREND(CC$32:CC$51,BZ$32:BZ$51,BZ53),0)</f>
        <v>5.0362406015037777</v>
      </c>
      <c r="CD53" s="138">
        <f ca="1">MAX(TREND(CD$32:CD$51,BZ$32:BZ$51,BZ53),0)</f>
        <v>6.7995488721803667</v>
      </c>
      <c r="CE53" s="138">
        <f ca="1">MAX(TREND(CE$32:CE$51,BZ$32:BZ$51,BZ53),0)</f>
        <v>145.05390977443631</v>
      </c>
      <c r="CF53" s="138">
        <f ca="1">MAX(TREND(CF$32:CF$51,BZ$32:BZ$51,BZ53),0)</f>
        <v>261.98007518796999</v>
      </c>
      <c r="CG53" s="138">
        <f ca="1">MAX(TREND(CG$32:CG$51,BZ$32:BZ$51,BZ53),0)</f>
        <v>353.98744360902265</v>
      </c>
      <c r="CH53" s="138">
        <f ca="1">MAX(TREND(CH$32:CH$51,BZ$32:BZ$51,BZ53),0)</f>
        <v>303.26947368421042</v>
      </c>
      <c r="CI53" s="138">
        <f ca="1">MAX(TREND(CI$32:CI$51,BZ$32:BZ$51,BZ53),0)</f>
        <v>187.30819548872159</v>
      </c>
      <c r="CJ53" s="138">
        <f ca="1">MAX(TREND(CJ$32:CJ$51,BZ$32:BZ$51,BZ53),0)</f>
        <v>58.735488721804472</v>
      </c>
      <c r="CK53" s="138">
        <f ca="1">MAX(TREND(CK$32:CK$51,BZ$32:BZ$51,BZ53),0)</f>
        <v>5.7550375939849614</v>
      </c>
      <c r="CL53" s="138">
        <f ca="1">MAX(TREND(CL$32:CL$51,BZ$32:BZ$51,BZ53),0)</f>
        <v>0</v>
      </c>
      <c r="CN53" s="135">
        <f>CN52+1</f>
        <v>2022</v>
      </c>
      <c r="CO53" s="138">
        <f ca="1">MAX(TREND(CO$32:CO$51,CN$32:CN$51,CN53),0)</f>
        <v>9.7218045112782647E-2</v>
      </c>
      <c r="CP53" s="138">
        <f ca="1">MAX(TREND(CP$32:CP$51,CN$32:CN$51,CN53),0)</f>
        <v>1.253684210526302</v>
      </c>
      <c r="CQ53" s="138">
        <f ca="1">MAX(TREND(CQ$32:CQ$51,CN$32:CN$51,CN53),0)</f>
        <v>9.4592481203007424</v>
      </c>
      <c r="CR53" s="138">
        <f ca="1">MAX(TREND(CR$32:CR$51,CN$32:CN$51,CN53),0)</f>
        <v>19.728421052632257</v>
      </c>
      <c r="CS53" s="138">
        <f ca="1">MAX(TREND(CS$32:CS$51,CN$32:CN$51,CN53),0)</f>
        <v>194.64007518796961</v>
      </c>
      <c r="CT53" s="138">
        <f ca="1">MAX(TREND(CT$32:CT$51,CN$32:CN$51,CN53),0)</f>
        <v>321.97676691729339</v>
      </c>
      <c r="CU53" s="138">
        <f ca="1">MAX(TREND(CU$32:CU$51,CN$32:CN$51,CN53),0)</f>
        <v>415.98744360902271</v>
      </c>
      <c r="CV53" s="138">
        <f ca="1">MAX(TREND(CV$32:CV$51,CN$32:CN$51,CN53),0)</f>
        <v>365.26947368421088</v>
      </c>
      <c r="CW53" s="138">
        <f ca="1">MAX(TREND(CW$32:CW$51,CN$32:CN$51,CN53),0)</f>
        <v>246.51511278195494</v>
      </c>
      <c r="CX53" s="138">
        <f ca="1">MAX(TREND(CX$32:CX$51,CN$32:CN$51,CN53),0)</f>
        <v>91.657593984962432</v>
      </c>
      <c r="CY53" s="138">
        <f ca="1">MAX(TREND(CY$32:CY$51,CN$32:CN$51,CN53),0)</f>
        <v>10.8181203007519</v>
      </c>
      <c r="CZ53" s="138">
        <f ca="1">MAX(TREND(CZ$32:CZ$51,CN$32:CN$51,CN53),0)</f>
        <v>0.1510526315789491</v>
      </c>
      <c r="DB53" s="135">
        <f>DB52+1</f>
        <v>2022</v>
      </c>
      <c r="DC53" s="138">
        <f ca="1">MAX(TREND(DC$32:DC$51,DB$32:DB$51,DB53),0)</f>
        <v>0.55533834586466213</v>
      </c>
      <c r="DD53" s="138">
        <f ca="1">MAX(TREND(DD$32:DD$51,DB$32:DB$51,DB53),0)</f>
        <v>3.731353383458611</v>
      </c>
      <c r="DE53" s="138">
        <f ca="1">MAX(TREND(DE$32:DE$51,DB$32:DB$51,DB53),0)</f>
        <v>15.761654135338347</v>
      </c>
      <c r="DF53" s="138">
        <f ca="1">MAX(TREND(DF$32:DF$51,DB$32:DB$51,DB53),0)</f>
        <v>41.869624060150272</v>
      </c>
      <c r="DG53" s="138">
        <f ca="1">MAX(TREND(DG$32:DG$51,DB$32:DB$51,DB53),0)</f>
        <v>248.79300751879737</v>
      </c>
      <c r="DH53" s="138">
        <f ca="1">MAX(TREND(DH$32:DH$51,DB$32:DB$51,DB53),0)</f>
        <v>381.97676691729328</v>
      </c>
      <c r="DI53" s="138">
        <f ca="1">MAX(TREND(DI$32:DI$51,DB$32:DB$51,DB53),0)</f>
        <v>477.98744360902276</v>
      </c>
      <c r="DJ53" s="138">
        <f ca="1">MAX(TREND(DJ$32:DJ$51,DB$32:DB$51,DB53),0)</f>
        <v>427.26947368421088</v>
      </c>
      <c r="DK53" s="138">
        <f ca="1">MAX(TREND(DK$32:DK$51,DB$32:DB$51,DB53),0)</f>
        <v>306.94962406015043</v>
      </c>
      <c r="DL53" s="138">
        <f ca="1">MAX(TREND(DL$32:DL$51,DB$32:DB$51,DB53),0)</f>
        <v>134.2393984962406</v>
      </c>
      <c r="DM53" s="138">
        <f ca="1">MAX(TREND(DM$32:DM$51,DB$32:DB$51,DB53),0)</f>
        <v>19.621278195488685</v>
      </c>
      <c r="DN53" s="138">
        <f ca="1">MAX(TREND(DN$32:DN$51,DB$32:DB$51,DB53),0)</f>
        <v>1.3975187969925003</v>
      </c>
    </row>
    <row r="54" spans="1:118" x14ac:dyDescent="0.2">
      <c r="A54" s="127">
        <v>2005</v>
      </c>
      <c r="B54" s="130">
        <v>5</v>
      </c>
      <c r="C54" s="130">
        <v>13.558064516129031</v>
      </c>
      <c r="D54" s="131">
        <v>201.89999999999998</v>
      </c>
      <c r="E54" s="131">
        <v>2.1999999999999993</v>
      </c>
      <c r="F54" s="131">
        <v>143.4</v>
      </c>
      <c r="G54" s="131">
        <v>5.6999999999999993</v>
      </c>
      <c r="H54" s="131">
        <v>93.4</v>
      </c>
      <c r="I54" s="131">
        <v>17.700000000000003</v>
      </c>
      <c r="J54" s="131">
        <v>55.099999999999994</v>
      </c>
      <c r="K54" s="131">
        <v>41.4</v>
      </c>
      <c r="L54" s="131">
        <v>29.700000000000003</v>
      </c>
      <c r="M54" s="131">
        <v>78</v>
      </c>
      <c r="N54" s="131">
        <v>14.700000000000001</v>
      </c>
      <c r="O54" s="131">
        <v>125</v>
      </c>
      <c r="P54" s="131">
        <v>4.7</v>
      </c>
      <c r="Q54" s="131">
        <v>177</v>
      </c>
      <c r="R54" s="131"/>
      <c r="S54" s="131"/>
      <c r="T54" s="131"/>
      <c r="AJ54" s="129"/>
      <c r="AK54" s="129"/>
      <c r="AW54" s="147"/>
      <c r="AX54" s="129"/>
      <c r="AY54" s="129"/>
      <c r="BL54" s="129"/>
      <c r="BM54" s="129"/>
      <c r="BZ54" s="129"/>
      <c r="CA54" s="129"/>
      <c r="CN54" s="129"/>
      <c r="CO54" s="129"/>
      <c r="DB54" s="129"/>
      <c r="DC54" s="129"/>
    </row>
    <row r="55" spans="1:118" x14ac:dyDescent="0.2">
      <c r="A55" s="127">
        <v>2005</v>
      </c>
      <c r="B55" s="130">
        <v>6</v>
      </c>
      <c r="C55" s="130">
        <v>23.416666666666668</v>
      </c>
      <c r="D55" s="131">
        <v>14.599999999999998</v>
      </c>
      <c r="E55" s="131">
        <v>117.1</v>
      </c>
      <c r="F55" s="131">
        <v>4.3999999999999986</v>
      </c>
      <c r="G55" s="131">
        <v>166.9</v>
      </c>
      <c r="H55" s="131">
        <v>0</v>
      </c>
      <c r="I55" s="131">
        <v>222.50000000000003</v>
      </c>
      <c r="J55" s="131">
        <v>0</v>
      </c>
      <c r="K55" s="131">
        <v>282.50000000000006</v>
      </c>
      <c r="L55" s="131">
        <v>0</v>
      </c>
      <c r="M55" s="131">
        <v>342.5</v>
      </c>
      <c r="N55" s="131">
        <v>0</v>
      </c>
      <c r="O55" s="131">
        <v>402.50000000000006</v>
      </c>
      <c r="P55" s="131">
        <v>0</v>
      </c>
      <c r="Q55" s="131">
        <v>462.5</v>
      </c>
      <c r="R55" s="131"/>
      <c r="S55" s="131"/>
      <c r="T55" s="131"/>
      <c r="V55" s="137" t="s">
        <v>105</v>
      </c>
      <c r="W55" s="131">
        <f t="shared" ref="W55:AH55" ca="1" si="53">AVERAGE(W42:W51)</f>
        <v>0</v>
      </c>
      <c r="X55" s="131">
        <f t="shared" ca="1" si="53"/>
        <v>0</v>
      </c>
      <c r="Y55" s="131">
        <f t="shared" ca="1" si="53"/>
        <v>0</v>
      </c>
      <c r="Z55" s="131">
        <f t="shared" ca="1" si="53"/>
        <v>0</v>
      </c>
      <c r="AA55" s="131">
        <f t="shared" ca="1" si="53"/>
        <v>18.240000000000002</v>
      </c>
      <c r="AB55" s="131">
        <f t="shared" ca="1" si="53"/>
        <v>55.150000000000013</v>
      </c>
      <c r="AC55" s="131">
        <f t="shared" ca="1" si="53"/>
        <v>111.92999999999999</v>
      </c>
      <c r="AD55" s="131">
        <f t="shared" ca="1" si="53"/>
        <v>70.830000000000013</v>
      </c>
      <c r="AE55" s="131">
        <f t="shared" ca="1" si="53"/>
        <v>28.27</v>
      </c>
      <c r="AF55" s="131">
        <f t="shared" ca="1" si="53"/>
        <v>2.66</v>
      </c>
      <c r="AG55" s="131">
        <f t="shared" ca="1" si="53"/>
        <v>0</v>
      </c>
      <c r="AH55" s="131">
        <f t="shared" ca="1" si="53"/>
        <v>0</v>
      </c>
      <c r="AJ55" s="137" t="s">
        <v>105</v>
      </c>
      <c r="AK55" s="131">
        <f t="shared" ref="AK55:AV55" ca="1" si="54">AVERAGE(AK42:AK51)</f>
        <v>0</v>
      </c>
      <c r="AL55" s="131">
        <f t="shared" ca="1" si="54"/>
        <v>0</v>
      </c>
      <c r="AM55" s="131">
        <f t="shared" ca="1" si="54"/>
        <v>0.58999999999999986</v>
      </c>
      <c r="AN55" s="131">
        <f t="shared" ca="1" si="54"/>
        <v>0.18999999999999986</v>
      </c>
      <c r="AO55" s="131">
        <f t="shared" ca="1" si="54"/>
        <v>34.61999999999999</v>
      </c>
      <c r="AP55" s="131">
        <f t="shared" ca="1" si="54"/>
        <v>96.41</v>
      </c>
      <c r="AQ55" s="131">
        <f t="shared" ca="1" si="54"/>
        <v>168.98</v>
      </c>
      <c r="AR55" s="131">
        <f t="shared" ca="1" si="54"/>
        <v>125.55</v>
      </c>
      <c r="AS55" s="131">
        <f t="shared" ca="1" si="54"/>
        <v>52.490000000000009</v>
      </c>
      <c r="AT55" s="131">
        <f t="shared" ca="1" si="54"/>
        <v>7.65</v>
      </c>
      <c r="AU55" s="131">
        <f t="shared" ca="1" si="54"/>
        <v>0.13999999999999985</v>
      </c>
      <c r="AV55" s="131">
        <f t="shared" ca="1" si="54"/>
        <v>0</v>
      </c>
      <c r="AW55" s="147">
        <f t="shared" ca="1" si="8"/>
        <v>486.61999999999995</v>
      </c>
      <c r="AX55" s="137" t="s">
        <v>105</v>
      </c>
      <c r="AY55" s="131">
        <f ca="1">AVERAGE(AY42:AY51)</f>
        <v>0</v>
      </c>
      <c r="AZ55" s="131">
        <f t="shared" ref="AZ55:BJ55" ca="1" si="55">AVERAGE(AZ42:AZ51)</f>
        <v>0</v>
      </c>
      <c r="BA55" s="131">
        <f t="shared" ca="1" si="55"/>
        <v>1.5699999999999998</v>
      </c>
      <c r="BB55" s="131">
        <f t="shared" ca="1" si="55"/>
        <v>1.4</v>
      </c>
      <c r="BC55" s="131">
        <f t="shared" ca="1" si="55"/>
        <v>59.319999999999993</v>
      </c>
      <c r="BD55" s="131">
        <f t="shared" ca="1" si="55"/>
        <v>147.38999999999999</v>
      </c>
      <c r="BE55" s="131">
        <f t="shared" ca="1" si="55"/>
        <v>229.98999999999995</v>
      </c>
      <c r="BF55" s="131">
        <f t="shared" ca="1" si="55"/>
        <v>185.42</v>
      </c>
      <c r="BG55" s="131">
        <f t="shared" ca="1" si="55"/>
        <v>88.07</v>
      </c>
      <c r="BH55" s="131">
        <f t="shared" ca="1" si="55"/>
        <v>17.57</v>
      </c>
      <c r="BI55" s="131">
        <f t="shared" ca="1" si="55"/>
        <v>0.43999999999999984</v>
      </c>
      <c r="BJ55" s="131">
        <f t="shared" ca="1" si="55"/>
        <v>0</v>
      </c>
      <c r="BL55" s="137" t="s">
        <v>105</v>
      </c>
      <c r="BM55" s="131">
        <f t="shared" ref="BM55:BX55" ca="1" si="56">AVERAGE(BM42:BM51)</f>
        <v>0</v>
      </c>
      <c r="BN55" s="131">
        <f t="shared" ca="1" si="56"/>
        <v>0</v>
      </c>
      <c r="BO55" s="131">
        <f t="shared" ca="1" si="56"/>
        <v>3.41</v>
      </c>
      <c r="BP55" s="131">
        <f t="shared" ca="1" si="56"/>
        <v>5.910000000000001</v>
      </c>
      <c r="BQ55" s="131">
        <f t="shared" ca="1" si="56"/>
        <v>93.27000000000001</v>
      </c>
      <c r="BR55" s="131">
        <f t="shared" ca="1" si="56"/>
        <v>204.62</v>
      </c>
      <c r="BS55" s="131">
        <f t="shared" ca="1" si="56"/>
        <v>291.96999999999997</v>
      </c>
      <c r="BT55" s="131">
        <f t="shared" ca="1" si="56"/>
        <v>247.16</v>
      </c>
      <c r="BU55" s="131">
        <f t="shared" ca="1" si="56"/>
        <v>134.26</v>
      </c>
      <c r="BV55" s="131">
        <f t="shared" ca="1" si="56"/>
        <v>34.32</v>
      </c>
      <c r="BW55" s="131">
        <f t="shared" ca="1" si="56"/>
        <v>1.8799999999999997</v>
      </c>
      <c r="BX55" s="131">
        <f t="shared" ca="1" si="56"/>
        <v>0</v>
      </c>
      <c r="BZ55" s="137" t="s">
        <v>105</v>
      </c>
      <c r="CA55" s="131">
        <f t="shared" ref="CA55:CL55" ca="1" si="57">AVERAGE(CA42:CA51)</f>
        <v>0</v>
      </c>
      <c r="CB55" s="131">
        <f t="shared" ca="1" si="57"/>
        <v>0.1</v>
      </c>
      <c r="CC55" s="131">
        <f t="shared" ca="1" si="57"/>
        <v>6.4899999999999993</v>
      </c>
      <c r="CD55" s="131">
        <f t="shared" ca="1" si="57"/>
        <v>14.290000000000001</v>
      </c>
      <c r="CE55" s="131">
        <f t="shared" ca="1" si="57"/>
        <v>136.21</v>
      </c>
      <c r="CF55" s="131">
        <f t="shared" ca="1" si="57"/>
        <v>264.20999999999998</v>
      </c>
      <c r="CG55" s="131">
        <f t="shared" ca="1" si="57"/>
        <v>353.96999999999997</v>
      </c>
      <c r="CH55" s="131">
        <f t="shared" ca="1" si="57"/>
        <v>309.15999999999997</v>
      </c>
      <c r="CI55" s="131">
        <f t="shared" ca="1" si="57"/>
        <v>188.20000000000002</v>
      </c>
      <c r="CJ55" s="131">
        <f t="shared" ca="1" si="57"/>
        <v>57.98</v>
      </c>
      <c r="CK55" s="131">
        <f t="shared" ca="1" si="57"/>
        <v>5.6999999999999993</v>
      </c>
      <c r="CL55" s="131">
        <f t="shared" ca="1" si="57"/>
        <v>8.0000000000000071E-2</v>
      </c>
      <c r="CN55" s="137" t="s">
        <v>105</v>
      </c>
      <c r="CO55" s="131">
        <f t="shared" ref="CO55:CZ55" ca="1" si="58">AVERAGE(CO42:CO51)</f>
        <v>5.9999999999999963E-2</v>
      </c>
      <c r="CP55" s="131">
        <f t="shared" ca="1" si="58"/>
        <v>0.74</v>
      </c>
      <c r="CQ55" s="131">
        <f t="shared" ca="1" si="58"/>
        <v>11.439999999999998</v>
      </c>
      <c r="CR55" s="131">
        <f t="shared" ca="1" si="58"/>
        <v>28.65</v>
      </c>
      <c r="CS55" s="131">
        <f t="shared" ca="1" si="58"/>
        <v>186.45</v>
      </c>
      <c r="CT55" s="131">
        <f t="shared" ca="1" si="58"/>
        <v>324.16999999999996</v>
      </c>
      <c r="CU55" s="131">
        <f t="shared" ca="1" si="58"/>
        <v>415.96999999999997</v>
      </c>
      <c r="CV55" s="131">
        <f t="shared" ca="1" si="58"/>
        <v>371.16</v>
      </c>
      <c r="CW55" s="131">
        <f t="shared" ca="1" si="58"/>
        <v>246.81</v>
      </c>
      <c r="CX55" s="131">
        <f t="shared" ca="1" si="58"/>
        <v>90.039999999999992</v>
      </c>
      <c r="CY55" s="131">
        <f t="shared" ca="1" si="58"/>
        <v>12.48</v>
      </c>
      <c r="CZ55" s="131">
        <f t="shared" ca="1" si="58"/>
        <v>0.70000000000000018</v>
      </c>
      <c r="DB55" s="137" t="s">
        <v>105</v>
      </c>
      <c r="DC55" s="131">
        <f t="shared" ref="DC55:DN55" ca="1" si="59">AVERAGE(DC42:DC51)</f>
        <v>0.45999999999999996</v>
      </c>
      <c r="DD55" s="131">
        <f t="shared" ca="1" si="59"/>
        <v>2.2399999999999998</v>
      </c>
      <c r="DE55" s="131">
        <f t="shared" ca="1" si="59"/>
        <v>18.420000000000002</v>
      </c>
      <c r="DF55" s="131">
        <f t="shared" ca="1" si="59"/>
        <v>52.969999999999992</v>
      </c>
      <c r="DG55" s="131">
        <f t="shared" ca="1" si="59"/>
        <v>242.02000000000004</v>
      </c>
      <c r="DH55" s="131">
        <f t="shared" ca="1" si="59"/>
        <v>384.16999999999996</v>
      </c>
      <c r="DI55" s="131">
        <f t="shared" ca="1" si="59"/>
        <v>477.97000000000008</v>
      </c>
      <c r="DJ55" s="131">
        <f t="shared" ca="1" si="59"/>
        <v>433.16</v>
      </c>
      <c r="DK55" s="131">
        <f t="shared" ca="1" si="59"/>
        <v>306.74000000000007</v>
      </c>
      <c r="DL55" s="131">
        <f t="shared" ca="1" si="59"/>
        <v>131.82</v>
      </c>
      <c r="DM55" s="131">
        <f t="shared" ca="1" si="59"/>
        <v>24.85</v>
      </c>
      <c r="DN55" s="131">
        <f t="shared" ca="1" si="59"/>
        <v>2.95</v>
      </c>
    </row>
    <row r="56" spans="1:118" x14ac:dyDescent="0.2">
      <c r="A56" s="127">
        <v>2005</v>
      </c>
      <c r="B56" s="130">
        <v>7</v>
      </c>
      <c r="C56" s="130">
        <v>24.28064516129032</v>
      </c>
      <c r="D56" s="131">
        <v>1.1999999999999993</v>
      </c>
      <c r="E56" s="131">
        <v>133.90000000000003</v>
      </c>
      <c r="F56" s="131">
        <v>0</v>
      </c>
      <c r="G56" s="131">
        <v>194.7</v>
      </c>
      <c r="H56" s="131">
        <v>0</v>
      </c>
      <c r="I56" s="131">
        <v>256.7</v>
      </c>
      <c r="J56" s="131">
        <v>0</v>
      </c>
      <c r="K56" s="131">
        <v>318.7</v>
      </c>
      <c r="L56" s="131">
        <v>0</v>
      </c>
      <c r="M56" s="131">
        <v>380.7</v>
      </c>
      <c r="N56" s="131">
        <v>0</v>
      </c>
      <c r="O56" s="131">
        <v>442.69999999999993</v>
      </c>
      <c r="P56" s="131">
        <v>0</v>
      </c>
      <c r="Q56" s="131">
        <v>504.69999999999993</v>
      </c>
      <c r="R56" s="131"/>
      <c r="S56" s="131"/>
      <c r="T56" s="131"/>
      <c r="AW56" s="238"/>
    </row>
    <row r="57" spans="1:118" x14ac:dyDescent="0.2">
      <c r="A57" s="127">
        <v>2005</v>
      </c>
      <c r="B57" s="130">
        <v>8</v>
      </c>
      <c r="C57" s="130">
        <v>23.980645161290322</v>
      </c>
      <c r="D57" s="131">
        <v>3.3999999999999986</v>
      </c>
      <c r="E57" s="131">
        <v>126.79999999999998</v>
      </c>
      <c r="F57" s="131">
        <v>0.10000000000000142</v>
      </c>
      <c r="G57" s="131">
        <v>185.49999999999994</v>
      </c>
      <c r="H57" s="131">
        <v>0</v>
      </c>
      <c r="I57" s="131">
        <v>247.39999999999998</v>
      </c>
      <c r="J57" s="131">
        <v>0</v>
      </c>
      <c r="K57" s="131">
        <v>309.40000000000003</v>
      </c>
      <c r="L57" s="131">
        <v>0</v>
      </c>
      <c r="M57" s="131">
        <v>371.40000000000003</v>
      </c>
      <c r="N57" s="131">
        <v>0</v>
      </c>
      <c r="O57" s="131">
        <v>433.40000000000003</v>
      </c>
      <c r="P57" s="131">
        <v>0</v>
      </c>
      <c r="Q57" s="131">
        <v>495.4</v>
      </c>
      <c r="R57" s="131"/>
      <c r="S57" s="131"/>
      <c r="T57" s="131"/>
      <c r="V57" s="127"/>
      <c r="W57" s="127"/>
    </row>
    <row r="58" spans="1:118" x14ac:dyDescent="0.2">
      <c r="A58" s="127">
        <v>2005</v>
      </c>
      <c r="B58" s="130">
        <v>9</v>
      </c>
      <c r="C58" s="130">
        <v>20.23</v>
      </c>
      <c r="D58" s="131">
        <v>32.5</v>
      </c>
      <c r="E58" s="131">
        <v>39.4</v>
      </c>
      <c r="F58" s="131">
        <v>15.299999999999999</v>
      </c>
      <c r="G58" s="131">
        <v>82.199999999999989</v>
      </c>
      <c r="H58" s="131">
        <v>7.6</v>
      </c>
      <c r="I58" s="131">
        <v>134.49999999999997</v>
      </c>
      <c r="J58" s="131">
        <v>3.5999999999999996</v>
      </c>
      <c r="K58" s="131">
        <v>190.5</v>
      </c>
      <c r="L58" s="131">
        <v>0</v>
      </c>
      <c r="M58" s="131">
        <v>246.90000000000003</v>
      </c>
      <c r="N58" s="131">
        <v>0</v>
      </c>
      <c r="O58" s="131">
        <v>306.90000000000009</v>
      </c>
      <c r="P58" s="131">
        <v>0</v>
      </c>
      <c r="Q58" s="131">
        <v>366.90000000000009</v>
      </c>
      <c r="R58" s="131"/>
      <c r="S58" s="131"/>
      <c r="T58" s="131"/>
      <c r="V58" s="127"/>
      <c r="W58" s="127"/>
    </row>
    <row r="59" spans="1:118" ht="15" x14ac:dyDescent="0.25">
      <c r="A59" s="127">
        <v>2005</v>
      </c>
      <c r="B59" s="130">
        <v>10</v>
      </c>
      <c r="C59" s="130">
        <v>12.716129032258069</v>
      </c>
      <c r="D59" s="131">
        <v>235</v>
      </c>
      <c r="E59" s="131">
        <v>9.1999999999999993</v>
      </c>
      <c r="F59" s="131">
        <v>182.8</v>
      </c>
      <c r="G59" s="131">
        <v>19</v>
      </c>
      <c r="H59" s="131">
        <v>134.00000000000003</v>
      </c>
      <c r="I59" s="131">
        <v>32.200000000000003</v>
      </c>
      <c r="J59" s="131">
        <v>89.800000000000011</v>
      </c>
      <c r="K59" s="131">
        <v>49.999999999999993</v>
      </c>
      <c r="L59" s="131">
        <v>53.500000000000007</v>
      </c>
      <c r="M59" s="131">
        <v>75.7</v>
      </c>
      <c r="N59" s="131">
        <v>25.900000000000006</v>
      </c>
      <c r="O59" s="131">
        <v>110.1</v>
      </c>
      <c r="P59" s="131">
        <v>7.8000000000000007</v>
      </c>
      <c r="Q59" s="131">
        <v>153.99999999999997</v>
      </c>
      <c r="R59" s="131"/>
      <c r="S59" s="131"/>
      <c r="T59" s="131"/>
      <c r="V59" s="139" t="s">
        <v>106</v>
      </c>
      <c r="W59" s="127"/>
      <c r="AA59" s="139" t="s">
        <v>125</v>
      </c>
      <c r="AJ59" s="139" t="s">
        <v>106</v>
      </c>
      <c r="AO59" s="139" t="s">
        <v>125</v>
      </c>
      <c r="AX59" s="139" t="s">
        <v>106</v>
      </c>
      <c r="BC59" s="139" t="s">
        <v>125</v>
      </c>
      <c r="BL59" s="139" t="s">
        <v>106</v>
      </c>
      <c r="BQ59" s="139" t="s">
        <v>125</v>
      </c>
      <c r="BZ59" s="139" t="s">
        <v>106</v>
      </c>
      <c r="CE59" s="139" t="s">
        <v>125</v>
      </c>
      <c r="CN59" s="139" t="s">
        <v>106</v>
      </c>
      <c r="CS59" s="139" t="s">
        <v>125</v>
      </c>
      <c r="DB59" s="139" t="s">
        <v>106</v>
      </c>
      <c r="DG59" s="139" t="s">
        <v>125</v>
      </c>
    </row>
    <row r="60" spans="1:118" x14ac:dyDescent="0.2">
      <c r="A60" s="127">
        <v>2005</v>
      </c>
      <c r="B60" s="130">
        <v>11</v>
      </c>
      <c r="C60" s="130">
        <v>6.46</v>
      </c>
      <c r="D60" s="131">
        <v>406.20000000000005</v>
      </c>
      <c r="E60" s="131">
        <v>0</v>
      </c>
      <c r="F60" s="131">
        <v>346.20000000000005</v>
      </c>
      <c r="G60" s="131">
        <v>0</v>
      </c>
      <c r="H60" s="131">
        <v>286.8</v>
      </c>
      <c r="I60" s="131">
        <v>0.60000000000000142</v>
      </c>
      <c r="J60" s="131">
        <v>231.2</v>
      </c>
      <c r="K60" s="131">
        <v>5.0000000000000018</v>
      </c>
      <c r="L60" s="131">
        <v>182.8</v>
      </c>
      <c r="M60" s="131">
        <v>16.600000000000001</v>
      </c>
      <c r="N60" s="131">
        <v>141.00000000000003</v>
      </c>
      <c r="O60" s="131">
        <v>34.799999999999997</v>
      </c>
      <c r="P60" s="131">
        <v>103.69999999999999</v>
      </c>
      <c r="Q60" s="131">
        <v>57.5</v>
      </c>
      <c r="R60" s="131"/>
      <c r="S60" s="131"/>
      <c r="T60" s="131"/>
      <c r="V60" s="127"/>
      <c r="W60" s="127"/>
      <c r="X60" s="140" t="str">
        <f>V4</f>
        <v>HDD20</v>
      </c>
      <c r="Y60" s="140" t="str">
        <f>V31</f>
        <v>CDD20</v>
      </c>
      <c r="AC60" s="127" t="str">
        <f>X60</f>
        <v>HDD20</v>
      </c>
      <c r="AD60" s="127" t="str">
        <f>Y60</f>
        <v>CDD20</v>
      </c>
      <c r="AL60" s="140" t="str">
        <f>AJ4</f>
        <v>HDD18</v>
      </c>
      <c r="AM60" s="140" t="str">
        <f>AJ31</f>
        <v>CDD18</v>
      </c>
      <c r="AQ60" s="127" t="str">
        <f>AL60</f>
        <v>HDD18</v>
      </c>
      <c r="AR60" s="127" t="str">
        <f>AM60</f>
        <v>CDD18</v>
      </c>
      <c r="AZ60" s="140" t="str">
        <f>AX4</f>
        <v>HDD16</v>
      </c>
      <c r="BA60" s="140" t="str">
        <f>AX31</f>
        <v>CDD16</v>
      </c>
      <c r="BE60" s="127" t="str">
        <f>AZ60</f>
        <v>HDD16</v>
      </c>
      <c r="BF60" s="127" t="str">
        <f>BA60</f>
        <v>CDD16</v>
      </c>
      <c r="BN60" s="140" t="str">
        <f>BL4</f>
        <v>HDD14</v>
      </c>
      <c r="BO60" s="140" t="str">
        <f>BL31</f>
        <v>CDD14</v>
      </c>
      <c r="BS60" s="127" t="str">
        <f>BN60</f>
        <v>HDD14</v>
      </c>
      <c r="BT60" s="127" t="str">
        <f>BO60</f>
        <v>CDD14</v>
      </c>
      <c r="CB60" s="140" t="str">
        <f>BZ4</f>
        <v>HDD12</v>
      </c>
      <c r="CC60" s="140" t="str">
        <f>BZ31</f>
        <v>CDD12</v>
      </c>
      <c r="CG60" s="127" t="str">
        <f>CB60</f>
        <v>HDD12</v>
      </c>
      <c r="CH60" s="127" t="str">
        <f>CC60</f>
        <v>CDD12</v>
      </c>
      <c r="CP60" s="140" t="str">
        <f>CN4</f>
        <v>HDD10</v>
      </c>
      <c r="CQ60" s="140" t="str">
        <f>CN31</f>
        <v>CDD10</v>
      </c>
      <c r="CU60" s="127" t="str">
        <f>CP60</f>
        <v>HDD10</v>
      </c>
      <c r="CV60" s="127" t="str">
        <f>CQ60</f>
        <v>CDD10</v>
      </c>
      <c r="DD60" s="140" t="str">
        <f>CP60</f>
        <v>HDD10</v>
      </c>
      <c r="DE60" s="140" t="str">
        <f>CQ60</f>
        <v>CDD10</v>
      </c>
      <c r="DI60" s="127" t="str">
        <f>DD60</f>
        <v>HDD10</v>
      </c>
      <c r="DJ60" s="127" t="str">
        <f>DE60</f>
        <v>CDD10</v>
      </c>
    </row>
    <row r="61" spans="1:118" x14ac:dyDescent="0.2">
      <c r="A61" s="127">
        <v>2005</v>
      </c>
      <c r="B61" s="130">
        <v>12</v>
      </c>
      <c r="C61" s="130">
        <v>-3.2806451612903218</v>
      </c>
      <c r="D61" s="131">
        <v>721.7</v>
      </c>
      <c r="E61" s="131">
        <v>0</v>
      </c>
      <c r="F61" s="131">
        <v>659.7</v>
      </c>
      <c r="G61" s="131">
        <v>0</v>
      </c>
      <c r="H61" s="131">
        <v>597.70000000000005</v>
      </c>
      <c r="I61" s="131">
        <v>0</v>
      </c>
      <c r="J61" s="131">
        <v>535.70000000000005</v>
      </c>
      <c r="K61" s="131">
        <v>0</v>
      </c>
      <c r="L61" s="131">
        <v>473.7000000000001</v>
      </c>
      <c r="M61" s="131">
        <v>0</v>
      </c>
      <c r="N61" s="131">
        <v>411.7000000000001</v>
      </c>
      <c r="O61" s="131">
        <v>0</v>
      </c>
      <c r="P61" s="131">
        <v>349.70000000000016</v>
      </c>
      <c r="Q61" s="131">
        <v>0</v>
      </c>
      <c r="R61" s="131"/>
      <c r="S61" s="131"/>
      <c r="T61" s="131"/>
      <c r="V61" s="127" t="s">
        <v>126</v>
      </c>
      <c r="W61" s="127" t="s">
        <v>42</v>
      </c>
      <c r="X61" s="141">
        <f t="shared" ref="X61:X72" ca="1" si="60">OFFSET($W$28,0,(ROW()-ROW(X$61)))</f>
        <v>733.55</v>
      </c>
      <c r="Y61" s="141">
        <f t="shared" ref="Y61:Y72" ca="1" si="61">OFFSET($W$55,0,(ROW()-ROW(Y$61)))</f>
        <v>0</v>
      </c>
      <c r="AA61" s="127" t="s">
        <v>126</v>
      </c>
      <c r="AB61" s="127" t="s">
        <v>42</v>
      </c>
      <c r="AC61" s="141">
        <f t="shared" ref="AC61:AC72" ca="1" si="62">OFFSET($W$26,0,(ROW()-ROW(AC$61)))</f>
        <v>733.48421052631579</v>
      </c>
      <c r="AD61" s="141">
        <f t="shared" ref="AD61:AD72" ca="1" si="63">OFFSET($W$53,0,(ROW()-ROW(AD$61)))</f>
        <v>0</v>
      </c>
      <c r="AJ61" s="127" t="s">
        <v>126</v>
      </c>
      <c r="AK61" s="127" t="s">
        <v>42</v>
      </c>
      <c r="AL61" s="141">
        <f t="shared" ref="AL61:AL72" ca="1" si="64">OFFSET(AK$28,0,(ROW()-ROW(AL$61)))</f>
        <v>671.55</v>
      </c>
      <c r="AM61" s="141">
        <f t="shared" ref="AM61:AM72" ca="1" si="65">OFFSET(AK$55,0,(ROW()-ROW(AM$61)))</f>
        <v>0</v>
      </c>
      <c r="AO61" s="127" t="s">
        <v>126</v>
      </c>
      <c r="AP61" s="127" t="s">
        <v>42</v>
      </c>
      <c r="AQ61" s="141">
        <f t="shared" ref="AQ61:AQ72" ca="1" si="66">OFFSET(AK$26,0,(ROW()-ROW(AQ$61)))</f>
        <v>671.48421052631579</v>
      </c>
      <c r="AR61" s="141">
        <f t="shared" ref="AR61:AR72" ca="1" si="67">OFFSET(AK$53,0,(ROW()-ROW(AR$61)))</f>
        <v>0</v>
      </c>
      <c r="AT61" s="141"/>
      <c r="AU61" s="141"/>
      <c r="AX61" s="127" t="s">
        <v>126</v>
      </c>
      <c r="AY61" s="127" t="s">
        <v>42</v>
      </c>
      <c r="AZ61" s="141">
        <f t="shared" ref="AZ61:AZ72" ca="1" si="68">OFFSET(AY$28,0,(ROW()-ROW(AZ$61)))</f>
        <v>609.54999999999995</v>
      </c>
      <c r="BA61" s="141">
        <f ca="1">OFFSET(AY$55,0,(ROW()-ROW(BA$61)))</f>
        <v>0</v>
      </c>
      <c r="BC61" s="127" t="s">
        <v>126</v>
      </c>
      <c r="BD61" s="127" t="s">
        <v>42</v>
      </c>
      <c r="BE61" s="141">
        <f t="shared" ref="BE61:BE72" ca="1" si="69">OFFSET(AY$26,0,(ROW()-ROW(BE$61)))</f>
        <v>609.48421052631568</v>
      </c>
      <c r="BF61" s="141">
        <f t="shared" ref="BF61:BF72" ca="1" si="70">OFFSET(AY$53,0,(ROW()-ROW(BF$61)))</f>
        <v>0</v>
      </c>
      <c r="BL61" s="127" t="s">
        <v>126</v>
      </c>
      <c r="BM61" s="127" t="s">
        <v>42</v>
      </c>
      <c r="BN61" s="141">
        <f t="shared" ref="BN61:BN72" ca="1" si="71">OFFSET(BM$28,0,(ROW()-ROW(BN$61)))</f>
        <v>547.54999999999995</v>
      </c>
      <c r="BO61" s="141">
        <f t="shared" ref="BO61:BO72" ca="1" si="72">OFFSET(BM$55,0,(ROW()-ROW(BO$61)))</f>
        <v>0</v>
      </c>
      <c r="BQ61" s="127" t="s">
        <v>126</v>
      </c>
      <c r="BR61" s="127" t="s">
        <v>42</v>
      </c>
      <c r="BS61" s="141">
        <f t="shared" ref="BS61:BS72" ca="1" si="73">OFFSET(BM$26,0,(ROW()-ROW(BS$61)))</f>
        <v>547.48421052631579</v>
      </c>
      <c r="BT61" s="141">
        <f t="shared" ref="BT61:BT72" ca="1" si="74">OFFSET(BM$53,0,(ROW()-ROW(BT$61)))</f>
        <v>0</v>
      </c>
      <c r="BZ61" s="127" t="s">
        <v>126</v>
      </c>
      <c r="CA61" s="127" t="s">
        <v>42</v>
      </c>
      <c r="CB61" s="141">
        <f t="shared" ref="CB61:CB72" ca="1" si="75">OFFSET(CA$28,0,(ROW()-ROW(CB$61)))</f>
        <v>485.5499999999999</v>
      </c>
      <c r="CC61" s="141">
        <f t="shared" ref="CC61:CC72" ca="1" si="76">OFFSET(CA$55,0,(ROW()-ROW(CC$61)))</f>
        <v>0</v>
      </c>
      <c r="CE61" s="127" t="s">
        <v>126</v>
      </c>
      <c r="CF61" s="127" t="s">
        <v>42</v>
      </c>
      <c r="CG61" s="141">
        <f t="shared" ref="CG61:CG72" ca="1" si="77">OFFSET(CA$26,0,(ROW()-ROW(CG$61)))</f>
        <v>485.4984210526315</v>
      </c>
      <c r="CH61" s="141">
        <f t="shared" ref="CH61:CH72" ca="1" si="78">OFFSET(CA$53,0,(ROW()-ROW(CH$61)))</f>
        <v>1.4210526315789451E-2</v>
      </c>
      <c r="CN61" s="127" t="s">
        <v>126</v>
      </c>
      <c r="CO61" s="127" t="s">
        <v>42</v>
      </c>
      <c r="CP61" s="141">
        <f t="shared" ref="CP61:CP72" ca="1" si="79">OFFSET(CO$28,0,(ROW()-ROW(CP$61)))</f>
        <v>423.61</v>
      </c>
      <c r="CQ61" s="141">
        <f t="shared" ref="CQ61:CQ72" ca="1" si="80">OFFSET(CO$55,0,(ROW()-ROW(CQ$61)))</f>
        <v>5.9999999999999963E-2</v>
      </c>
      <c r="CS61" s="127" t="s">
        <v>126</v>
      </c>
      <c r="CT61" s="127" t="s">
        <v>42</v>
      </c>
      <c r="CU61" s="141">
        <f t="shared" ref="CU61:CU72" ca="1" si="81">OFFSET(CO$26,0,(ROW()-ROW(CU$61)))</f>
        <v>423.58142857142849</v>
      </c>
      <c r="CV61" s="141">
        <f t="shared" ref="CV61:CV72" ca="1" si="82">OFFSET(CO$53,0,(ROW()-ROW(CV$61)))</f>
        <v>9.7218045112782647E-2</v>
      </c>
      <c r="DB61" s="127" t="s">
        <v>126</v>
      </c>
      <c r="DC61" s="127" t="s">
        <v>42</v>
      </c>
      <c r="DD61" s="141">
        <f ca="1">OFFSET(DC$28,0,(ROW()-ROW(DD$61)))</f>
        <v>362.00999999999993</v>
      </c>
      <c r="DE61" s="141">
        <f t="shared" ref="DE61:DE72" ca="1" si="83">OFFSET(DC$55,0,(ROW()-ROW(DE$61)))</f>
        <v>0.45999999999999996</v>
      </c>
      <c r="DG61" s="127" t="s">
        <v>126</v>
      </c>
      <c r="DH61" s="127" t="s">
        <v>42</v>
      </c>
      <c r="DI61" s="141">
        <f t="shared" ref="DI61:DI72" ca="1" si="84">OFFSET(DC$26,0,(ROW()-ROW(DI$61)))</f>
        <v>362.03954887218043</v>
      </c>
      <c r="DJ61" s="141">
        <f t="shared" ref="DJ61:DJ72" ca="1" si="85">OFFSET(DC$53,0,(ROW()-ROW(DJ$61)))</f>
        <v>0.55533834586466213</v>
      </c>
    </row>
    <row r="62" spans="1:118" x14ac:dyDescent="0.2">
      <c r="A62" s="127">
        <v>2006</v>
      </c>
      <c r="B62" s="130">
        <v>1</v>
      </c>
      <c r="C62" s="130">
        <v>2.0419354838709678</v>
      </c>
      <c r="D62" s="131">
        <v>556.70000000000005</v>
      </c>
      <c r="E62" s="131">
        <v>0</v>
      </c>
      <c r="F62" s="131">
        <v>494.69999999999993</v>
      </c>
      <c r="G62" s="131">
        <v>0</v>
      </c>
      <c r="H62" s="131">
        <v>432.69999999999993</v>
      </c>
      <c r="I62" s="131">
        <v>0</v>
      </c>
      <c r="J62" s="131">
        <v>370.69999999999993</v>
      </c>
      <c r="K62" s="131">
        <v>0</v>
      </c>
      <c r="L62" s="131">
        <v>308.69999999999993</v>
      </c>
      <c r="M62" s="131">
        <v>0</v>
      </c>
      <c r="N62" s="131">
        <v>246.7</v>
      </c>
      <c r="O62" s="131">
        <v>0</v>
      </c>
      <c r="P62" s="131">
        <v>185</v>
      </c>
      <c r="Q62" s="131">
        <v>0.30000000000000071</v>
      </c>
      <c r="R62" s="145">
        <f>Purchases!D2</f>
        <v>17495990</v>
      </c>
      <c r="S62" s="128"/>
      <c r="T62" s="131"/>
      <c r="V62" s="127" t="s">
        <v>126</v>
      </c>
      <c r="W62" s="127" t="s">
        <v>43</v>
      </c>
      <c r="X62" s="141">
        <f t="shared" ca="1" si="60"/>
        <v>648.03000000000009</v>
      </c>
      <c r="Y62" s="141">
        <f t="shared" ca="1" si="61"/>
        <v>0</v>
      </c>
      <c r="AA62" s="127" t="s">
        <v>126</v>
      </c>
      <c r="AB62" s="127" t="s">
        <v>43</v>
      </c>
      <c r="AC62" s="141">
        <f t="shared" ca="1" si="62"/>
        <v>647.9983458646617</v>
      </c>
      <c r="AD62" s="141">
        <f t="shared" ca="1" si="63"/>
        <v>0</v>
      </c>
      <c r="AJ62" s="127" t="s">
        <v>126</v>
      </c>
      <c r="AK62" s="127" t="s">
        <v>43</v>
      </c>
      <c r="AL62" s="141">
        <f t="shared" ca="1" si="64"/>
        <v>591.43000000000006</v>
      </c>
      <c r="AM62" s="141">
        <f t="shared" ca="1" si="65"/>
        <v>0</v>
      </c>
      <c r="AO62" s="127" t="s">
        <v>126</v>
      </c>
      <c r="AP62" s="127" t="s">
        <v>43</v>
      </c>
      <c r="AQ62" s="141">
        <f t="shared" ca="1" si="66"/>
        <v>591.23894736842101</v>
      </c>
      <c r="AR62" s="141">
        <f t="shared" ca="1" si="67"/>
        <v>0</v>
      </c>
      <c r="AT62" s="141"/>
      <c r="AU62" s="141"/>
      <c r="AX62" s="127" t="s">
        <v>126</v>
      </c>
      <c r="AY62" s="127" t="s">
        <v>43</v>
      </c>
      <c r="AZ62" s="141">
        <f t="shared" ca="1" si="68"/>
        <v>534.83000000000004</v>
      </c>
      <c r="BA62" s="141">
        <f t="shared" ref="BA62:BA72" ca="1" si="86">OFFSET(AY$55,0,(ROW()-ROW(BA$61)))</f>
        <v>0</v>
      </c>
      <c r="BC62" s="127" t="s">
        <v>126</v>
      </c>
      <c r="BD62" s="127" t="s">
        <v>43</v>
      </c>
      <c r="BE62" s="141">
        <f t="shared" ca="1" si="69"/>
        <v>534.47954887218054</v>
      </c>
      <c r="BF62" s="141">
        <f t="shared" ca="1" si="70"/>
        <v>0</v>
      </c>
      <c r="BL62" s="127" t="s">
        <v>126</v>
      </c>
      <c r="BM62" s="127" t="s">
        <v>43</v>
      </c>
      <c r="BN62" s="141">
        <f t="shared" ca="1" si="71"/>
        <v>478.2299999999999</v>
      </c>
      <c r="BO62" s="141">
        <f t="shared" ca="1" si="72"/>
        <v>0</v>
      </c>
      <c r="BQ62" s="127" t="s">
        <v>126</v>
      </c>
      <c r="BR62" s="127" t="s">
        <v>43</v>
      </c>
      <c r="BS62" s="141">
        <f t="shared" ca="1" si="73"/>
        <v>477.7201503759398</v>
      </c>
      <c r="BT62" s="141">
        <f t="shared" ca="1" si="74"/>
        <v>0</v>
      </c>
      <c r="BZ62" s="127" t="s">
        <v>126</v>
      </c>
      <c r="CA62" s="127" t="s">
        <v>43</v>
      </c>
      <c r="CB62" s="141">
        <f t="shared" ca="1" si="75"/>
        <v>421.7299999999999</v>
      </c>
      <c r="CC62" s="141">
        <f t="shared" ca="1" si="76"/>
        <v>0.1</v>
      </c>
      <c r="CE62" s="127" t="s">
        <v>126</v>
      </c>
      <c r="CF62" s="127" t="s">
        <v>43</v>
      </c>
      <c r="CG62" s="141">
        <f t="shared" ca="1" si="77"/>
        <v>421.14045112781946</v>
      </c>
      <c r="CH62" s="141">
        <f t="shared" ca="1" si="78"/>
        <v>0.17969924812030058</v>
      </c>
      <c r="CN62" s="127" t="s">
        <v>126</v>
      </c>
      <c r="CO62" s="127" t="s">
        <v>43</v>
      </c>
      <c r="CP62" s="141">
        <f t="shared" ca="1" si="79"/>
        <v>365.77</v>
      </c>
      <c r="CQ62" s="141">
        <f t="shared" ca="1" si="80"/>
        <v>0.74</v>
      </c>
      <c r="CS62" s="127" t="s">
        <v>126</v>
      </c>
      <c r="CT62" s="127" t="s">
        <v>43</v>
      </c>
      <c r="CU62" s="141">
        <f t="shared" ca="1" si="81"/>
        <v>365.45503759398497</v>
      </c>
      <c r="CV62" s="141">
        <f t="shared" ca="1" si="82"/>
        <v>1.253684210526302</v>
      </c>
      <c r="DB62" s="127" t="s">
        <v>126</v>
      </c>
      <c r="DC62" s="127" t="s">
        <v>43</v>
      </c>
      <c r="DD62" s="141">
        <f t="shared" ref="DD62:DD72" ca="1" si="87">OFFSET(DC$28,0,(ROW()-ROW(DD$61)))</f>
        <v>310.67</v>
      </c>
      <c r="DE62" s="141">
        <f t="shared" ca="1" si="83"/>
        <v>2.2399999999999998</v>
      </c>
      <c r="DG62" s="127" t="s">
        <v>126</v>
      </c>
      <c r="DH62" s="127" t="s">
        <v>43</v>
      </c>
      <c r="DI62" s="141">
        <f t="shared" ca="1" si="84"/>
        <v>311.17330827067661</v>
      </c>
      <c r="DJ62" s="141">
        <f t="shared" ca="1" si="85"/>
        <v>3.731353383458611</v>
      </c>
    </row>
    <row r="63" spans="1:118" x14ac:dyDescent="0.2">
      <c r="A63" s="127">
        <v>2006</v>
      </c>
      <c r="B63" s="130">
        <v>2</v>
      </c>
      <c r="C63" s="130">
        <v>-1.2142857142857142</v>
      </c>
      <c r="D63" s="131">
        <v>594</v>
      </c>
      <c r="E63" s="131">
        <v>0</v>
      </c>
      <c r="F63" s="131">
        <v>538</v>
      </c>
      <c r="G63" s="131">
        <v>0</v>
      </c>
      <c r="H63" s="131">
        <v>481.99999999999994</v>
      </c>
      <c r="I63" s="131">
        <v>0</v>
      </c>
      <c r="J63" s="131">
        <v>425.99999999999994</v>
      </c>
      <c r="K63" s="131">
        <v>0</v>
      </c>
      <c r="L63" s="131">
        <v>370.00000000000006</v>
      </c>
      <c r="M63" s="131">
        <v>0</v>
      </c>
      <c r="N63" s="131">
        <v>314</v>
      </c>
      <c r="O63" s="131">
        <v>0</v>
      </c>
      <c r="P63" s="131">
        <v>258.00000000000006</v>
      </c>
      <c r="Q63" s="131">
        <v>0</v>
      </c>
      <c r="R63" s="145">
        <f>Purchases!D3</f>
        <v>16164900</v>
      </c>
      <c r="S63" s="128"/>
      <c r="T63" s="131"/>
      <c r="V63" s="127" t="s">
        <v>126</v>
      </c>
      <c r="W63" s="127" t="s">
        <v>44</v>
      </c>
      <c r="X63" s="141">
        <f t="shared" ca="1" si="60"/>
        <v>554.63</v>
      </c>
      <c r="Y63" s="141">
        <f t="shared" ca="1" si="61"/>
        <v>0</v>
      </c>
      <c r="AA63" s="127" t="s">
        <v>126</v>
      </c>
      <c r="AB63" s="127" t="s">
        <v>44</v>
      </c>
      <c r="AC63" s="141">
        <f t="shared" ca="1" si="62"/>
        <v>551.32293233082703</v>
      </c>
      <c r="AD63" s="141">
        <f t="shared" ca="1" si="63"/>
        <v>0</v>
      </c>
      <c r="AJ63" s="127" t="s">
        <v>126</v>
      </c>
      <c r="AK63" s="127" t="s">
        <v>44</v>
      </c>
      <c r="AL63" s="141">
        <f t="shared" ca="1" si="64"/>
        <v>493.21999999999997</v>
      </c>
      <c r="AM63" s="141">
        <f t="shared" ca="1" si="65"/>
        <v>0.58999999999999986</v>
      </c>
      <c r="AO63" s="127" t="s">
        <v>126</v>
      </c>
      <c r="AP63" s="127" t="s">
        <v>44</v>
      </c>
      <c r="AQ63" s="141">
        <f t="shared" ca="1" si="66"/>
        <v>489.76887218045113</v>
      </c>
      <c r="AR63" s="141">
        <f t="shared" ca="1" si="67"/>
        <v>0.44593984962405742</v>
      </c>
      <c r="AT63" s="141"/>
      <c r="AU63" s="141"/>
      <c r="AX63" s="127" t="s">
        <v>126</v>
      </c>
      <c r="AY63" s="127" t="s">
        <v>44</v>
      </c>
      <c r="AZ63" s="141">
        <f t="shared" ca="1" si="68"/>
        <v>432.2000000000001</v>
      </c>
      <c r="BA63" s="141">
        <f t="shared" ca="1" si="86"/>
        <v>1.5699999999999998</v>
      </c>
      <c r="BC63" s="127" t="s">
        <v>126</v>
      </c>
      <c r="BD63" s="127" t="s">
        <v>44</v>
      </c>
      <c r="BE63" s="141">
        <f t="shared" ca="1" si="69"/>
        <v>428.48150375939849</v>
      </c>
      <c r="BF63" s="141">
        <f t="shared" ca="1" si="70"/>
        <v>1.1585714285714275</v>
      </c>
      <c r="BL63" s="127" t="s">
        <v>126</v>
      </c>
      <c r="BM63" s="127" t="s">
        <v>44</v>
      </c>
      <c r="BN63" s="141">
        <f t="shared" ca="1" si="71"/>
        <v>372.04000000000008</v>
      </c>
      <c r="BO63" s="141">
        <f t="shared" ca="1" si="72"/>
        <v>3.41</v>
      </c>
      <c r="BQ63" s="127" t="s">
        <v>126</v>
      </c>
      <c r="BR63" s="127" t="s">
        <v>44</v>
      </c>
      <c r="BS63" s="141">
        <f t="shared" ca="1" si="73"/>
        <v>367.87819548872181</v>
      </c>
      <c r="BT63" s="141">
        <f t="shared" ca="1" si="74"/>
        <v>2.5552631578947285</v>
      </c>
      <c r="BZ63" s="127" t="s">
        <v>126</v>
      </c>
      <c r="CA63" s="127" t="s">
        <v>44</v>
      </c>
      <c r="CB63" s="141">
        <f t="shared" ca="1" si="75"/>
        <v>313.12</v>
      </c>
      <c r="CC63" s="141">
        <f t="shared" ca="1" si="76"/>
        <v>6.4899999999999993</v>
      </c>
      <c r="CE63" s="127" t="s">
        <v>126</v>
      </c>
      <c r="CF63" s="127" t="s">
        <v>44</v>
      </c>
      <c r="CG63" s="141">
        <f t="shared" ca="1" si="77"/>
        <v>308.35917293233086</v>
      </c>
      <c r="CH63" s="141">
        <f t="shared" ca="1" si="78"/>
        <v>5.0362406015037777</v>
      </c>
      <c r="CN63" s="127" t="s">
        <v>126</v>
      </c>
      <c r="CO63" s="127" t="s">
        <v>44</v>
      </c>
      <c r="CP63" s="141">
        <f t="shared" ca="1" si="79"/>
        <v>256.07000000000005</v>
      </c>
      <c r="CQ63" s="141">
        <f t="shared" ca="1" si="80"/>
        <v>11.439999999999998</v>
      </c>
      <c r="CS63" s="127" t="s">
        <v>126</v>
      </c>
      <c r="CT63" s="127" t="s">
        <v>44</v>
      </c>
      <c r="CU63" s="141">
        <f t="shared" ca="1" si="81"/>
        <v>250.7821804511278</v>
      </c>
      <c r="CV63" s="141">
        <f t="shared" ca="1" si="82"/>
        <v>9.4592481203007424</v>
      </c>
      <c r="DB63" s="127" t="s">
        <v>126</v>
      </c>
      <c r="DC63" s="127" t="s">
        <v>44</v>
      </c>
      <c r="DD63" s="141">
        <f t="shared" ca="1" si="87"/>
        <v>201.05</v>
      </c>
      <c r="DE63" s="141">
        <f t="shared" ca="1" si="83"/>
        <v>18.420000000000002</v>
      </c>
      <c r="DG63" s="127" t="s">
        <v>126</v>
      </c>
      <c r="DH63" s="127" t="s">
        <v>44</v>
      </c>
      <c r="DI63" s="141">
        <f t="shared" ca="1" si="84"/>
        <v>195.08458646616538</v>
      </c>
      <c r="DJ63" s="141">
        <f t="shared" ca="1" si="85"/>
        <v>15.761654135338347</v>
      </c>
    </row>
    <row r="64" spans="1:118" x14ac:dyDescent="0.2">
      <c r="A64" s="127">
        <v>2006</v>
      </c>
      <c r="B64" s="130">
        <v>3</v>
      </c>
      <c r="C64" s="130">
        <v>3.1161290322580641</v>
      </c>
      <c r="D64" s="131">
        <v>523.4</v>
      </c>
      <c r="E64" s="131">
        <v>0</v>
      </c>
      <c r="F64" s="131">
        <v>461.39999999999992</v>
      </c>
      <c r="G64" s="131">
        <v>0</v>
      </c>
      <c r="H64" s="131">
        <v>399.4</v>
      </c>
      <c r="I64" s="131">
        <v>0</v>
      </c>
      <c r="J64" s="131">
        <v>337.4</v>
      </c>
      <c r="K64" s="131">
        <v>0</v>
      </c>
      <c r="L64" s="131">
        <v>276.5</v>
      </c>
      <c r="M64" s="131">
        <v>1.0999999999999996</v>
      </c>
      <c r="N64" s="131">
        <v>219.20000000000005</v>
      </c>
      <c r="O64" s="131">
        <v>5.8000000000000007</v>
      </c>
      <c r="P64" s="131">
        <v>166.80000000000004</v>
      </c>
      <c r="Q64" s="131">
        <v>15.4</v>
      </c>
      <c r="R64" s="145">
        <f>Purchases!D4</f>
        <v>17164270</v>
      </c>
      <c r="S64" s="128"/>
      <c r="T64" s="131"/>
      <c r="V64" s="127" t="s">
        <v>126</v>
      </c>
      <c r="W64" s="127" t="s">
        <v>45</v>
      </c>
      <c r="X64" s="141">
        <f t="shared" ca="1" si="60"/>
        <v>358.41999999999996</v>
      </c>
      <c r="Y64" s="141">
        <f t="shared" ca="1" si="61"/>
        <v>0</v>
      </c>
      <c r="AA64" s="127" t="s">
        <v>126</v>
      </c>
      <c r="AB64" s="127" t="s">
        <v>45</v>
      </c>
      <c r="AC64" s="141">
        <f t="shared" ca="1" si="62"/>
        <v>375.14503759398485</v>
      </c>
      <c r="AD64" s="141">
        <f t="shared" ca="1" si="63"/>
        <v>0</v>
      </c>
      <c r="AJ64" s="127" t="s">
        <v>126</v>
      </c>
      <c r="AK64" s="127" t="s">
        <v>45</v>
      </c>
      <c r="AL64" s="141">
        <f t="shared" ca="1" si="64"/>
        <v>298.61</v>
      </c>
      <c r="AM64" s="141">
        <f t="shared" ca="1" si="65"/>
        <v>0.18999999999999986</v>
      </c>
      <c r="AO64" s="127" t="s">
        <v>126</v>
      </c>
      <c r="AP64" s="127" t="s">
        <v>45</v>
      </c>
      <c r="AQ64" s="141">
        <f t="shared" ca="1" si="66"/>
        <v>314.25729323308315</v>
      </c>
      <c r="AR64" s="141">
        <f t="shared" ca="1" si="67"/>
        <v>0</v>
      </c>
      <c r="AT64" s="141"/>
      <c r="AU64" s="141"/>
      <c r="AX64" s="127" t="s">
        <v>126</v>
      </c>
      <c r="AY64" s="127" t="s">
        <v>45</v>
      </c>
      <c r="AZ64" s="141">
        <f t="shared" ca="1" si="68"/>
        <v>239.82</v>
      </c>
      <c r="BA64" s="141">
        <f t="shared" ca="1" si="86"/>
        <v>1.4</v>
      </c>
      <c r="BC64" s="127" t="s">
        <v>126</v>
      </c>
      <c r="BD64" s="127" t="s">
        <v>45</v>
      </c>
      <c r="BE64" s="141">
        <f t="shared" ca="1" si="69"/>
        <v>253.73887218045093</v>
      </c>
      <c r="BF64" s="141">
        <f t="shared" ca="1" si="70"/>
        <v>0</v>
      </c>
      <c r="BL64" s="127" t="s">
        <v>126</v>
      </c>
      <c r="BM64" s="127" t="s">
        <v>45</v>
      </c>
      <c r="BN64" s="141">
        <f t="shared" ca="1" si="71"/>
        <v>184.32999999999998</v>
      </c>
      <c r="BO64" s="141">
        <f t="shared" ca="1" si="72"/>
        <v>5.910000000000001</v>
      </c>
      <c r="BQ64" s="127" t="s">
        <v>126</v>
      </c>
      <c r="BR64" s="127" t="s">
        <v>45</v>
      </c>
      <c r="BS64" s="141">
        <f t="shared" ca="1" si="73"/>
        <v>196.0815037593984</v>
      </c>
      <c r="BT64" s="141">
        <f t="shared" ca="1" si="74"/>
        <v>0.28541353383434398</v>
      </c>
      <c r="BZ64" s="127" t="s">
        <v>126</v>
      </c>
      <c r="CA64" s="127" t="s">
        <v>45</v>
      </c>
      <c r="CB64" s="141">
        <f t="shared" ca="1" si="75"/>
        <v>132.71</v>
      </c>
      <c r="CC64" s="141">
        <f t="shared" ca="1" si="76"/>
        <v>14.290000000000001</v>
      </c>
      <c r="CE64" s="127" t="s">
        <v>126</v>
      </c>
      <c r="CF64" s="127" t="s">
        <v>45</v>
      </c>
      <c r="CG64" s="141">
        <f t="shared" ca="1" si="77"/>
        <v>142.59563909774442</v>
      </c>
      <c r="CH64" s="141">
        <f t="shared" ca="1" si="78"/>
        <v>6.7995488721803667</v>
      </c>
      <c r="CN64" s="127" t="s">
        <v>126</v>
      </c>
      <c r="CO64" s="127" t="s">
        <v>45</v>
      </c>
      <c r="CP64" s="141">
        <f t="shared" ca="1" si="79"/>
        <v>87.070000000000007</v>
      </c>
      <c r="CQ64" s="141">
        <f t="shared" ca="1" si="80"/>
        <v>28.65</v>
      </c>
      <c r="CS64" s="127" t="s">
        <v>126</v>
      </c>
      <c r="CT64" s="127" t="s">
        <v>45</v>
      </c>
      <c r="CU64" s="141">
        <f t="shared" ca="1" si="81"/>
        <v>95.524511278195405</v>
      </c>
      <c r="CV64" s="141">
        <f t="shared" ca="1" si="82"/>
        <v>19.728421052632257</v>
      </c>
      <c r="DB64" s="127" t="s">
        <v>126</v>
      </c>
      <c r="DC64" s="127" t="s">
        <v>45</v>
      </c>
      <c r="DD64" s="141">
        <f t="shared" ca="1" si="87"/>
        <v>51.39</v>
      </c>
      <c r="DE64" s="141">
        <f t="shared" ca="1" si="83"/>
        <v>52.969999999999992</v>
      </c>
      <c r="DG64" s="127" t="s">
        <v>126</v>
      </c>
      <c r="DH64" s="127" t="s">
        <v>45</v>
      </c>
      <c r="DI64" s="141">
        <f t="shared" ca="1" si="84"/>
        <v>57.66571428571433</v>
      </c>
      <c r="DJ64" s="141">
        <f t="shared" ca="1" si="85"/>
        <v>41.869624060150272</v>
      </c>
    </row>
    <row r="65" spans="1:118" x14ac:dyDescent="0.2">
      <c r="A65" s="127">
        <v>2006</v>
      </c>
      <c r="B65" s="130">
        <v>4</v>
      </c>
      <c r="C65" s="130">
        <v>10.719999999999999</v>
      </c>
      <c r="D65" s="131">
        <v>278.40000000000003</v>
      </c>
      <c r="E65" s="131">
        <v>0</v>
      </c>
      <c r="F65" s="131">
        <v>219.49999999999997</v>
      </c>
      <c r="G65" s="131">
        <v>1.1000000000000014</v>
      </c>
      <c r="H65" s="131">
        <v>165.8</v>
      </c>
      <c r="I65" s="131">
        <v>7.4000000000000021</v>
      </c>
      <c r="J65" s="131">
        <v>118.20000000000002</v>
      </c>
      <c r="K65" s="131">
        <v>19.800000000000004</v>
      </c>
      <c r="L65" s="131">
        <v>77.899999999999991</v>
      </c>
      <c r="M65" s="131">
        <v>39.499999999999993</v>
      </c>
      <c r="N65" s="131">
        <v>44.2</v>
      </c>
      <c r="O65" s="131">
        <v>65.800000000000011</v>
      </c>
      <c r="P65" s="131">
        <v>20.200000000000003</v>
      </c>
      <c r="Q65" s="131">
        <v>101.80000000000001</v>
      </c>
      <c r="R65" s="145">
        <f>Purchases!D5</f>
        <v>14641220</v>
      </c>
      <c r="S65" s="128"/>
      <c r="T65" s="131"/>
      <c r="V65" s="127" t="s">
        <v>126</v>
      </c>
      <c r="W65" s="127" t="s">
        <v>46</v>
      </c>
      <c r="X65" s="141">
        <f t="shared" ca="1" si="60"/>
        <v>151.02000000000001</v>
      </c>
      <c r="Y65" s="141">
        <f t="shared" ca="1" si="61"/>
        <v>18.240000000000002</v>
      </c>
      <c r="AA65" s="127" t="s">
        <v>126</v>
      </c>
      <c r="AB65" s="127" t="s">
        <v>46</v>
      </c>
      <c r="AC65" s="141">
        <f t="shared" ca="1" si="62"/>
        <v>147.95293233082725</v>
      </c>
      <c r="AD65" s="141">
        <f t="shared" ca="1" si="63"/>
        <v>21.092330827067599</v>
      </c>
      <c r="AJ65" s="127" t="s">
        <v>126</v>
      </c>
      <c r="AK65" s="127" t="s">
        <v>46</v>
      </c>
      <c r="AL65" s="141">
        <f t="shared" ca="1" si="64"/>
        <v>105.4</v>
      </c>
      <c r="AM65" s="141">
        <f t="shared" ca="1" si="65"/>
        <v>34.61999999999999</v>
      </c>
      <c r="AO65" s="127" t="s">
        <v>126</v>
      </c>
      <c r="AP65" s="127" t="s">
        <v>46</v>
      </c>
      <c r="AQ65" s="141">
        <f t="shared" ca="1" si="66"/>
        <v>104.0659398496241</v>
      </c>
      <c r="AR65" s="141">
        <f t="shared" ca="1" si="67"/>
        <v>39.205338345864675</v>
      </c>
      <c r="AT65" s="141"/>
      <c r="AU65" s="141"/>
      <c r="AX65" s="127" t="s">
        <v>126</v>
      </c>
      <c r="AY65" s="127" t="s">
        <v>46</v>
      </c>
      <c r="AZ65" s="141">
        <f t="shared" ca="1" si="68"/>
        <v>68.099999999999994</v>
      </c>
      <c r="BA65" s="141">
        <f t="shared" ca="1" si="86"/>
        <v>59.319999999999993</v>
      </c>
      <c r="BC65" s="127" t="s">
        <v>126</v>
      </c>
      <c r="BD65" s="127" t="s">
        <v>46</v>
      </c>
      <c r="BE65" s="141">
        <f t="shared" ca="1" si="69"/>
        <v>68.58375939849617</v>
      </c>
      <c r="BF65" s="141">
        <f t="shared" ca="1" si="70"/>
        <v>65.723157894736687</v>
      </c>
      <c r="BL65" s="127" t="s">
        <v>126</v>
      </c>
      <c r="BM65" s="127" t="s">
        <v>46</v>
      </c>
      <c r="BN65" s="141">
        <f t="shared" ca="1" si="71"/>
        <v>40.050000000000004</v>
      </c>
      <c r="BO65" s="141">
        <f t="shared" ca="1" si="72"/>
        <v>93.27000000000001</v>
      </c>
      <c r="BQ65" s="127" t="s">
        <v>126</v>
      </c>
      <c r="BR65" s="127" t="s">
        <v>46</v>
      </c>
      <c r="BS65" s="141">
        <f t="shared" ca="1" si="73"/>
        <v>42.263984962406028</v>
      </c>
      <c r="BT65" s="141">
        <f t="shared" ca="1" si="74"/>
        <v>101.40338345864666</v>
      </c>
      <c r="BZ65" s="127" t="s">
        <v>126</v>
      </c>
      <c r="CA65" s="127" t="s">
        <v>46</v>
      </c>
      <c r="CB65" s="141">
        <f t="shared" ca="1" si="75"/>
        <v>20.99</v>
      </c>
      <c r="CC65" s="141">
        <f t="shared" ca="1" si="76"/>
        <v>136.21</v>
      </c>
      <c r="CE65" s="127" t="s">
        <v>126</v>
      </c>
      <c r="CF65" s="127" t="s">
        <v>46</v>
      </c>
      <c r="CG65" s="141">
        <f t="shared" ca="1" si="77"/>
        <v>23.914511278195391</v>
      </c>
      <c r="CH65" s="141">
        <f t="shared" ca="1" si="78"/>
        <v>145.05390977443631</v>
      </c>
      <c r="CN65" s="127" t="s">
        <v>126</v>
      </c>
      <c r="CO65" s="127" t="s">
        <v>46</v>
      </c>
      <c r="CP65" s="141">
        <f t="shared" ca="1" si="79"/>
        <v>9.23</v>
      </c>
      <c r="CQ65" s="141">
        <f t="shared" ca="1" si="80"/>
        <v>186.45</v>
      </c>
      <c r="CS65" s="127" t="s">
        <v>126</v>
      </c>
      <c r="CT65" s="127" t="s">
        <v>46</v>
      </c>
      <c r="CU65" s="141">
        <f t="shared" ca="1" si="81"/>
        <v>11.500676691729268</v>
      </c>
      <c r="CV65" s="141">
        <f t="shared" ca="1" si="82"/>
        <v>194.64007518796961</v>
      </c>
      <c r="DB65" s="127" t="s">
        <v>126</v>
      </c>
      <c r="DC65" s="127" t="s">
        <v>46</v>
      </c>
      <c r="DD65" s="141">
        <f t="shared" ca="1" si="87"/>
        <v>2.8</v>
      </c>
      <c r="DE65" s="141">
        <f t="shared" ca="1" si="83"/>
        <v>242.02000000000004</v>
      </c>
      <c r="DG65" s="127" t="s">
        <v>126</v>
      </c>
      <c r="DH65" s="127" t="s">
        <v>46</v>
      </c>
      <c r="DI65" s="141">
        <f t="shared" ca="1" si="84"/>
        <v>3.6536090225564237</v>
      </c>
      <c r="DJ65" s="141">
        <f t="shared" ca="1" si="85"/>
        <v>248.79300751879737</v>
      </c>
    </row>
    <row r="66" spans="1:118" x14ac:dyDescent="0.2">
      <c r="A66" s="127">
        <v>2006</v>
      </c>
      <c r="B66" s="130">
        <v>5</v>
      </c>
      <c r="C66" s="130">
        <v>15.893548387096773</v>
      </c>
      <c r="D66" s="131">
        <v>153.4</v>
      </c>
      <c r="E66" s="131">
        <v>26.1</v>
      </c>
      <c r="F66" s="131">
        <v>105.9</v>
      </c>
      <c r="G66" s="131">
        <v>40.600000000000009</v>
      </c>
      <c r="H66" s="131">
        <v>65.100000000000009</v>
      </c>
      <c r="I66" s="131">
        <v>61.8</v>
      </c>
      <c r="J66" s="131">
        <v>31.8</v>
      </c>
      <c r="K66" s="131">
        <v>90.499999999999986</v>
      </c>
      <c r="L66" s="131">
        <v>12.399999999999999</v>
      </c>
      <c r="M66" s="131">
        <v>133.09999999999997</v>
      </c>
      <c r="N66" s="131">
        <v>2.5999999999999996</v>
      </c>
      <c r="O66" s="131">
        <v>185.3</v>
      </c>
      <c r="P66" s="131">
        <v>0</v>
      </c>
      <c r="Q66" s="131">
        <v>244.7</v>
      </c>
      <c r="R66" s="145">
        <f>Purchases!D6</f>
        <v>13901070</v>
      </c>
      <c r="S66" s="128"/>
      <c r="T66" s="131"/>
      <c r="V66" s="127" t="s">
        <v>126</v>
      </c>
      <c r="W66" s="127" t="s">
        <v>47</v>
      </c>
      <c r="X66" s="141">
        <f t="shared" ca="1" si="60"/>
        <v>30.98</v>
      </c>
      <c r="Y66" s="141">
        <f t="shared" ca="1" si="61"/>
        <v>55.150000000000013</v>
      </c>
      <c r="AA66" s="127" t="s">
        <v>126</v>
      </c>
      <c r="AB66" s="127" t="s">
        <v>47</v>
      </c>
      <c r="AC66" s="141">
        <f t="shared" ca="1" si="62"/>
        <v>27.109624060150395</v>
      </c>
      <c r="AD66" s="141">
        <f t="shared" ca="1" si="63"/>
        <v>49.086390977443671</v>
      </c>
      <c r="AJ66" s="127" t="s">
        <v>126</v>
      </c>
      <c r="AK66" s="127" t="s">
        <v>47</v>
      </c>
      <c r="AL66" s="141">
        <f t="shared" ca="1" si="64"/>
        <v>12.239999999999998</v>
      </c>
      <c r="AM66" s="141">
        <f t="shared" ca="1" si="65"/>
        <v>96.41</v>
      </c>
      <c r="AO66" s="127" t="s">
        <v>126</v>
      </c>
      <c r="AP66" s="127" t="s">
        <v>47</v>
      </c>
      <c r="AQ66" s="141">
        <f t="shared" ca="1" si="66"/>
        <v>9.1713533834586087</v>
      </c>
      <c r="AR66" s="141">
        <f t="shared" ca="1" si="67"/>
        <v>91.148120300751771</v>
      </c>
      <c r="AT66" s="141"/>
      <c r="AU66" s="141"/>
      <c r="AX66" s="127" t="s">
        <v>126</v>
      </c>
      <c r="AY66" s="127" t="s">
        <v>47</v>
      </c>
      <c r="AZ66" s="141">
        <f t="shared" ca="1" si="68"/>
        <v>3.22</v>
      </c>
      <c r="BA66" s="141">
        <f t="shared" ca="1" si="86"/>
        <v>147.38999999999999</v>
      </c>
      <c r="BC66" s="127" t="s">
        <v>126</v>
      </c>
      <c r="BD66" s="127" t="s">
        <v>47</v>
      </c>
      <c r="BE66" s="141">
        <f t="shared" ca="1" si="69"/>
        <v>1.6954887218045087</v>
      </c>
      <c r="BF66" s="141">
        <f t="shared" ca="1" si="70"/>
        <v>143.67225563909778</v>
      </c>
      <c r="BL66" s="127" t="s">
        <v>126</v>
      </c>
      <c r="BM66" s="127" t="s">
        <v>47</v>
      </c>
      <c r="BN66" s="141">
        <f t="shared" ca="1" si="71"/>
        <v>0.45000000000000018</v>
      </c>
      <c r="BO66" s="141">
        <f t="shared" ca="1" si="72"/>
        <v>204.62</v>
      </c>
      <c r="BQ66" s="127" t="s">
        <v>126</v>
      </c>
      <c r="BR66" s="127" t="s">
        <v>47</v>
      </c>
      <c r="BS66" s="141">
        <f t="shared" ca="1" si="73"/>
        <v>8.6541353383466912E-2</v>
      </c>
      <c r="BT66" s="141">
        <f t="shared" ca="1" si="74"/>
        <v>202.06330827067654</v>
      </c>
      <c r="BZ66" s="127" t="s">
        <v>126</v>
      </c>
      <c r="CA66" s="127" t="s">
        <v>47</v>
      </c>
      <c r="CB66" s="141">
        <f t="shared" ca="1" si="75"/>
        <v>4.0000000000000036E-2</v>
      </c>
      <c r="CC66" s="141">
        <f t="shared" ca="1" si="76"/>
        <v>264.20999999999998</v>
      </c>
      <c r="CE66" s="127" t="s">
        <v>126</v>
      </c>
      <c r="CF66" s="127" t="s">
        <v>47</v>
      </c>
      <c r="CG66" s="141">
        <f t="shared" ca="1" si="77"/>
        <v>3.3082706766922598E-3</v>
      </c>
      <c r="CH66" s="141">
        <f t="shared" ca="1" si="78"/>
        <v>261.98007518796999</v>
      </c>
      <c r="CN66" s="127" t="s">
        <v>126</v>
      </c>
      <c r="CO66" s="127" t="s">
        <v>47</v>
      </c>
      <c r="CP66" s="141">
        <f t="shared" ca="1" si="79"/>
        <v>0</v>
      </c>
      <c r="CQ66" s="141">
        <f t="shared" ca="1" si="80"/>
        <v>324.16999999999996</v>
      </c>
      <c r="CS66" s="127" t="s">
        <v>126</v>
      </c>
      <c r="CT66" s="127" t="s">
        <v>47</v>
      </c>
      <c r="CU66" s="141">
        <f t="shared" ca="1" si="81"/>
        <v>0</v>
      </c>
      <c r="CV66" s="141">
        <f t="shared" ca="1" si="82"/>
        <v>321.97676691729339</v>
      </c>
      <c r="DB66" s="127" t="s">
        <v>126</v>
      </c>
      <c r="DC66" s="127" t="s">
        <v>47</v>
      </c>
      <c r="DD66" s="141">
        <f t="shared" ca="1" si="87"/>
        <v>0</v>
      </c>
      <c r="DE66" s="141">
        <f t="shared" ca="1" si="83"/>
        <v>384.16999999999996</v>
      </c>
      <c r="DG66" s="127" t="s">
        <v>126</v>
      </c>
      <c r="DH66" s="127" t="s">
        <v>47</v>
      </c>
      <c r="DI66" s="141">
        <f t="shared" ca="1" si="84"/>
        <v>0</v>
      </c>
      <c r="DJ66" s="141">
        <f t="shared" ca="1" si="85"/>
        <v>381.97676691729328</v>
      </c>
    </row>
    <row r="67" spans="1:118" x14ac:dyDescent="0.2">
      <c r="A67" s="127">
        <v>2006</v>
      </c>
      <c r="B67" s="130">
        <v>6</v>
      </c>
      <c r="C67" s="130">
        <v>20.563333333333336</v>
      </c>
      <c r="D67" s="131">
        <v>24.900000000000006</v>
      </c>
      <c r="E67" s="131">
        <v>41.800000000000004</v>
      </c>
      <c r="F67" s="131">
        <v>8.8000000000000007</v>
      </c>
      <c r="G67" s="131">
        <v>85.700000000000017</v>
      </c>
      <c r="H67" s="131">
        <v>2</v>
      </c>
      <c r="I67" s="131">
        <v>138.89999999999998</v>
      </c>
      <c r="J67" s="131">
        <v>0</v>
      </c>
      <c r="K67" s="131">
        <v>196.89999999999995</v>
      </c>
      <c r="L67" s="131">
        <v>0</v>
      </c>
      <c r="M67" s="131">
        <v>256.89999999999998</v>
      </c>
      <c r="N67" s="131">
        <v>0</v>
      </c>
      <c r="O67" s="131">
        <v>316.90000000000003</v>
      </c>
      <c r="P67" s="131">
        <v>0</v>
      </c>
      <c r="Q67" s="131">
        <v>376.9</v>
      </c>
      <c r="R67" s="145">
        <f>Purchases!D7</f>
        <v>17912530</v>
      </c>
      <c r="S67" s="128"/>
      <c r="T67" s="131"/>
      <c r="V67" s="127" t="s">
        <v>126</v>
      </c>
      <c r="W67" s="127" t="s">
        <v>48</v>
      </c>
      <c r="X67" s="141">
        <f t="shared" ca="1" si="60"/>
        <v>5.9599999999999991</v>
      </c>
      <c r="Y67" s="141">
        <f t="shared" ca="1" si="61"/>
        <v>111.92999999999999</v>
      </c>
      <c r="AA67" s="127" t="s">
        <v>126</v>
      </c>
      <c r="AB67" s="127" t="s">
        <v>48</v>
      </c>
      <c r="AC67" s="141">
        <f t="shared" ca="1" si="62"/>
        <v>5.2188721804511147</v>
      </c>
      <c r="AD67" s="141">
        <f t="shared" ca="1" si="63"/>
        <v>111.20631578947365</v>
      </c>
      <c r="AJ67" s="127" t="s">
        <v>126</v>
      </c>
      <c r="AK67" s="127" t="s">
        <v>48</v>
      </c>
      <c r="AL67" s="141">
        <f t="shared" ca="1" si="64"/>
        <v>1.0100000000000002</v>
      </c>
      <c r="AM67" s="141">
        <f t="shared" ca="1" si="65"/>
        <v>168.98</v>
      </c>
      <c r="AO67" s="127" t="s">
        <v>126</v>
      </c>
      <c r="AP67" s="127" t="s">
        <v>48</v>
      </c>
      <c r="AQ67" s="141">
        <f t="shared" ca="1" si="66"/>
        <v>0.65849624060150802</v>
      </c>
      <c r="AR67" s="141">
        <f t="shared" ca="1" si="67"/>
        <v>168.64593984962406</v>
      </c>
      <c r="AT67" s="141"/>
      <c r="AU67" s="141"/>
      <c r="AX67" s="127" t="s">
        <v>126</v>
      </c>
      <c r="AY67" s="127" t="s">
        <v>48</v>
      </c>
      <c r="AZ67" s="141">
        <f t="shared" ca="1" si="68"/>
        <v>1.9999999999999928E-2</v>
      </c>
      <c r="BA67" s="141">
        <f t="shared" ca="1" si="86"/>
        <v>229.98999999999995</v>
      </c>
      <c r="BC67" s="127" t="s">
        <v>126</v>
      </c>
      <c r="BD67" s="127" t="s">
        <v>48</v>
      </c>
      <c r="BE67" s="141">
        <f t="shared" ca="1" si="69"/>
        <v>0</v>
      </c>
      <c r="BF67" s="141">
        <f t="shared" ca="1" si="70"/>
        <v>229.87586466165419</v>
      </c>
      <c r="BL67" s="127" t="s">
        <v>126</v>
      </c>
      <c r="BM67" s="127" t="s">
        <v>48</v>
      </c>
      <c r="BN67" s="141">
        <f t="shared" ca="1" si="71"/>
        <v>0</v>
      </c>
      <c r="BO67" s="141">
        <f t="shared" ca="1" si="72"/>
        <v>291.96999999999997</v>
      </c>
      <c r="BQ67" s="127" t="s">
        <v>126</v>
      </c>
      <c r="BR67" s="127" t="s">
        <v>48</v>
      </c>
      <c r="BS67" s="141">
        <f t="shared" ca="1" si="73"/>
        <v>0</v>
      </c>
      <c r="BT67" s="141">
        <f t="shared" ca="1" si="74"/>
        <v>291.98744360902259</v>
      </c>
      <c r="BZ67" s="127" t="s">
        <v>126</v>
      </c>
      <c r="CA67" s="127" t="s">
        <v>48</v>
      </c>
      <c r="CB67" s="141">
        <f t="shared" ca="1" si="75"/>
        <v>0</v>
      </c>
      <c r="CC67" s="141">
        <f t="shared" ca="1" si="76"/>
        <v>353.96999999999997</v>
      </c>
      <c r="CE67" s="127" t="s">
        <v>126</v>
      </c>
      <c r="CF67" s="127" t="s">
        <v>48</v>
      </c>
      <c r="CG67" s="141">
        <f t="shared" ca="1" si="77"/>
        <v>0</v>
      </c>
      <c r="CH67" s="141">
        <f t="shared" ca="1" si="78"/>
        <v>353.98744360902265</v>
      </c>
      <c r="CN67" s="127" t="s">
        <v>126</v>
      </c>
      <c r="CO67" s="127" t="s">
        <v>48</v>
      </c>
      <c r="CP67" s="141">
        <f t="shared" ca="1" si="79"/>
        <v>0</v>
      </c>
      <c r="CQ67" s="141">
        <f t="shared" ca="1" si="80"/>
        <v>415.96999999999997</v>
      </c>
      <c r="CS67" s="127" t="s">
        <v>126</v>
      </c>
      <c r="CT67" s="127" t="s">
        <v>48</v>
      </c>
      <c r="CU67" s="141">
        <f t="shared" ca="1" si="81"/>
        <v>0</v>
      </c>
      <c r="CV67" s="141">
        <f t="shared" ca="1" si="82"/>
        <v>415.98744360902271</v>
      </c>
      <c r="DB67" s="127" t="s">
        <v>126</v>
      </c>
      <c r="DC67" s="127" t="s">
        <v>48</v>
      </c>
      <c r="DD67" s="141">
        <f t="shared" ca="1" si="87"/>
        <v>0</v>
      </c>
      <c r="DE67" s="141">
        <f t="shared" ca="1" si="83"/>
        <v>477.97000000000008</v>
      </c>
      <c r="DG67" s="127" t="s">
        <v>126</v>
      </c>
      <c r="DH67" s="127" t="s">
        <v>48</v>
      </c>
      <c r="DI67" s="141">
        <f t="shared" ca="1" si="84"/>
        <v>0</v>
      </c>
      <c r="DJ67" s="141">
        <f t="shared" ca="1" si="85"/>
        <v>477.98744360902276</v>
      </c>
    </row>
    <row r="68" spans="1:118" x14ac:dyDescent="0.2">
      <c r="A68" s="127">
        <v>2006</v>
      </c>
      <c r="B68" s="130">
        <v>7</v>
      </c>
      <c r="C68" s="130">
        <v>24.36774193548387</v>
      </c>
      <c r="D68" s="131">
        <v>2.1000000000000014</v>
      </c>
      <c r="E68" s="131">
        <v>137.5</v>
      </c>
      <c r="F68" s="131">
        <v>0</v>
      </c>
      <c r="G68" s="131">
        <v>197.4</v>
      </c>
      <c r="H68" s="131">
        <v>0</v>
      </c>
      <c r="I68" s="131">
        <v>259.40000000000003</v>
      </c>
      <c r="J68" s="131">
        <v>0</v>
      </c>
      <c r="K68" s="131">
        <v>321.39999999999998</v>
      </c>
      <c r="L68" s="131">
        <v>0</v>
      </c>
      <c r="M68" s="131">
        <v>383.39999999999992</v>
      </c>
      <c r="N68" s="131">
        <v>0</v>
      </c>
      <c r="O68" s="131">
        <v>445.39999999999992</v>
      </c>
      <c r="P68" s="131">
        <v>0</v>
      </c>
      <c r="Q68" s="131">
        <v>507.39999999999992</v>
      </c>
      <c r="R68" s="145">
        <f>Purchases!D8</f>
        <v>22524750</v>
      </c>
      <c r="S68" s="128"/>
      <c r="T68" s="131"/>
      <c r="V68" s="127" t="s">
        <v>126</v>
      </c>
      <c r="W68" s="127" t="s">
        <v>49</v>
      </c>
      <c r="X68" s="141">
        <f t="shared" ca="1" si="60"/>
        <v>9.6700000000000017</v>
      </c>
      <c r="Y68" s="141">
        <f t="shared" ca="1" si="61"/>
        <v>70.830000000000013</v>
      </c>
      <c r="AA68" s="127" t="s">
        <v>126</v>
      </c>
      <c r="AB68" s="127" t="s">
        <v>49</v>
      </c>
      <c r="AC68" s="141">
        <f t="shared" ca="1" si="62"/>
        <v>10.517969924812007</v>
      </c>
      <c r="AD68" s="141">
        <f t="shared" ca="1" si="63"/>
        <v>65.787443609022375</v>
      </c>
      <c r="AJ68" s="127" t="s">
        <v>126</v>
      </c>
      <c r="AK68" s="127" t="s">
        <v>49</v>
      </c>
      <c r="AL68" s="141">
        <f t="shared" ca="1" si="64"/>
        <v>2.3899999999999997</v>
      </c>
      <c r="AM68" s="141">
        <f t="shared" ca="1" si="65"/>
        <v>125.55</v>
      </c>
      <c r="AO68" s="127" t="s">
        <v>126</v>
      </c>
      <c r="AP68" s="127" t="s">
        <v>49</v>
      </c>
      <c r="AQ68" s="141">
        <f t="shared" ca="1" si="66"/>
        <v>2.8183458646616657</v>
      </c>
      <c r="AR68" s="141">
        <f t="shared" ca="1" si="67"/>
        <v>120.08781954887218</v>
      </c>
      <c r="AT68" s="141"/>
      <c r="AU68" s="141"/>
      <c r="AX68" s="127" t="s">
        <v>126</v>
      </c>
      <c r="AY68" s="127" t="s">
        <v>49</v>
      </c>
      <c r="AZ68" s="141">
        <f t="shared" ca="1" si="68"/>
        <v>0.25999999999999995</v>
      </c>
      <c r="BA68" s="141">
        <f t="shared" ca="1" si="86"/>
        <v>185.42</v>
      </c>
      <c r="BC68" s="127" t="s">
        <v>126</v>
      </c>
      <c r="BD68" s="127" t="s">
        <v>49</v>
      </c>
      <c r="BE68" s="141">
        <f t="shared" ca="1" si="69"/>
        <v>0.37533834586465886</v>
      </c>
      <c r="BF68" s="141">
        <f t="shared" ca="1" si="70"/>
        <v>179.64481203007472</v>
      </c>
      <c r="BL68" s="127" t="s">
        <v>126</v>
      </c>
      <c r="BM68" s="127" t="s">
        <v>49</v>
      </c>
      <c r="BN68" s="141">
        <f t="shared" ca="1" si="71"/>
        <v>0</v>
      </c>
      <c r="BO68" s="141">
        <f t="shared" ca="1" si="72"/>
        <v>247.16</v>
      </c>
      <c r="BQ68" s="127" t="s">
        <v>126</v>
      </c>
      <c r="BR68" s="127" t="s">
        <v>49</v>
      </c>
      <c r="BS68" s="141">
        <f t="shared" ca="1" si="73"/>
        <v>0</v>
      </c>
      <c r="BT68" s="141">
        <f t="shared" ca="1" si="74"/>
        <v>241.26947368421042</v>
      </c>
      <c r="BZ68" s="127" t="s">
        <v>126</v>
      </c>
      <c r="CA68" s="127" t="s">
        <v>49</v>
      </c>
      <c r="CB68" s="141">
        <f t="shared" ca="1" si="75"/>
        <v>0</v>
      </c>
      <c r="CC68" s="141">
        <f t="shared" ca="1" si="76"/>
        <v>309.15999999999997</v>
      </c>
      <c r="CE68" s="127" t="s">
        <v>126</v>
      </c>
      <c r="CF68" s="127" t="s">
        <v>49</v>
      </c>
      <c r="CG68" s="141">
        <f t="shared" ca="1" si="77"/>
        <v>0</v>
      </c>
      <c r="CH68" s="141">
        <f t="shared" ca="1" si="78"/>
        <v>303.26947368421042</v>
      </c>
      <c r="CN68" s="127" t="s">
        <v>126</v>
      </c>
      <c r="CO68" s="127" t="s">
        <v>49</v>
      </c>
      <c r="CP68" s="141">
        <f t="shared" ca="1" si="79"/>
        <v>0</v>
      </c>
      <c r="CQ68" s="141">
        <f t="shared" ca="1" si="80"/>
        <v>371.16</v>
      </c>
      <c r="CS68" s="127" t="s">
        <v>126</v>
      </c>
      <c r="CT68" s="127" t="s">
        <v>49</v>
      </c>
      <c r="CU68" s="141">
        <f t="shared" ca="1" si="81"/>
        <v>0</v>
      </c>
      <c r="CV68" s="141">
        <f t="shared" ca="1" si="82"/>
        <v>365.26947368421088</v>
      </c>
      <c r="DB68" s="127" t="s">
        <v>126</v>
      </c>
      <c r="DC68" s="127" t="s">
        <v>49</v>
      </c>
      <c r="DD68" s="141">
        <f t="shared" ca="1" si="87"/>
        <v>0</v>
      </c>
      <c r="DE68" s="141">
        <f t="shared" ca="1" si="83"/>
        <v>433.16</v>
      </c>
      <c r="DG68" s="127" t="s">
        <v>126</v>
      </c>
      <c r="DH68" s="127" t="s">
        <v>49</v>
      </c>
      <c r="DI68" s="141">
        <f t="shared" ca="1" si="84"/>
        <v>0</v>
      </c>
      <c r="DJ68" s="141">
        <f t="shared" ca="1" si="85"/>
        <v>427.26947368421088</v>
      </c>
    </row>
    <row r="69" spans="1:118" x14ac:dyDescent="0.2">
      <c r="A69" s="127">
        <v>2006</v>
      </c>
      <c r="B69" s="130">
        <v>8</v>
      </c>
      <c r="C69" s="130">
        <v>22.754838709677419</v>
      </c>
      <c r="D69" s="131">
        <v>1.2000000000000028</v>
      </c>
      <c r="E69" s="131">
        <v>86.6</v>
      </c>
      <c r="F69" s="131">
        <v>0</v>
      </c>
      <c r="G69" s="131">
        <v>147.39999999999998</v>
      </c>
      <c r="H69" s="131">
        <v>0</v>
      </c>
      <c r="I69" s="131">
        <v>209.39999999999998</v>
      </c>
      <c r="J69" s="131">
        <v>0</v>
      </c>
      <c r="K69" s="131">
        <v>271.39999999999998</v>
      </c>
      <c r="L69" s="131">
        <v>0</v>
      </c>
      <c r="M69" s="131">
        <v>333.39999999999986</v>
      </c>
      <c r="N69" s="131">
        <v>0</v>
      </c>
      <c r="O69" s="131">
        <v>395.39999999999986</v>
      </c>
      <c r="P69" s="131">
        <v>0</v>
      </c>
      <c r="Q69" s="131">
        <v>457.39999999999992</v>
      </c>
      <c r="R69" s="145">
        <f>Purchases!D9</f>
        <v>21130000</v>
      </c>
      <c r="S69" s="128"/>
      <c r="T69" s="131"/>
      <c r="V69" s="127" t="s">
        <v>126</v>
      </c>
      <c r="W69" s="127" t="s">
        <v>50</v>
      </c>
      <c r="X69" s="141">
        <f t="shared" ca="1" si="60"/>
        <v>81.53</v>
      </c>
      <c r="Y69" s="141">
        <f t="shared" ca="1" si="61"/>
        <v>28.27</v>
      </c>
      <c r="AA69" s="127" t="s">
        <v>126</v>
      </c>
      <c r="AB69" s="127" t="s">
        <v>50</v>
      </c>
      <c r="AC69" s="141">
        <f t="shared" ca="1" si="62"/>
        <v>80.460977443609181</v>
      </c>
      <c r="AD69" s="141">
        <f t="shared" ca="1" si="63"/>
        <v>27.536315789473676</v>
      </c>
      <c r="AJ69" s="127" t="s">
        <v>126</v>
      </c>
      <c r="AK69" s="127" t="s">
        <v>50</v>
      </c>
      <c r="AL69" s="141">
        <f t="shared" ca="1" si="64"/>
        <v>45.749999999999993</v>
      </c>
      <c r="AM69" s="141">
        <f t="shared" ca="1" si="65"/>
        <v>52.490000000000009</v>
      </c>
      <c r="AO69" s="127" t="s">
        <v>126</v>
      </c>
      <c r="AP69" s="127" t="s">
        <v>50</v>
      </c>
      <c r="AQ69" s="141">
        <f t="shared" ca="1" si="66"/>
        <v>43.63390977443612</v>
      </c>
      <c r="AR69" s="141">
        <f t="shared" ca="1" si="67"/>
        <v>50.709248120300686</v>
      </c>
      <c r="AT69" s="141"/>
      <c r="AU69" s="141"/>
      <c r="AX69" s="127" t="s">
        <v>126</v>
      </c>
      <c r="AY69" s="127" t="s">
        <v>50</v>
      </c>
      <c r="AZ69" s="141">
        <f t="shared" ca="1" si="68"/>
        <v>21.33</v>
      </c>
      <c r="BA69" s="141">
        <f t="shared" ca="1" si="86"/>
        <v>88.07</v>
      </c>
      <c r="BC69" s="127" t="s">
        <v>126</v>
      </c>
      <c r="BD69" s="127" t="s">
        <v>50</v>
      </c>
      <c r="BE69" s="141">
        <f t="shared" ca="1" si="69"/>
        <v>19.014135338345866</v>
      </c>
      <c r="BF69" s="141">
        <f t="shared" ca="1" si="70"/>
        <v>86.089473684210589</v>
      </c>
      <c r="BL69" s="127" t="s">
        <v>126</v>
      </c>
      <c r="BM69" s="127" t="s">
        <v>50</v>
      </c>
      <c r="BN69" s="141">
        <f t="shared" ca="1" si="71"/>
        <v>7.5200000000000014</v>
      </c>
      <c r="BO69" s="141">
        <f t="shared" ca="1" si="72"/>
        <v>134.26</v>
      </c>
      <c r="BQ69" s="127" t="s">
        <v>126</v>
      </c>
      <c r="BR69" s="127" t="s">
        <v>50</v>
      </c>
      <c r="BS69" s="141">
        <f t="shared" ca="1" si="73"/>
        <v>5.7176691729323181</v>
      </c>
      <c r="BT69" s="141">
        <f t="shared" ca="1" si="74"/>
        <v>132.79300751879691</v>
      </c>
      <c r="BZ69" s="127" t="s">
        <v>126</v>
      </c>
      <c r="CA69" s="127" t="s">
        <v>50</v>
      </c>
      <c r="CB69" s="141">
        <f t="shared" ca="1" si="75"/>
        <v>1.4600000000000002</v>
      </c>
      <c r="CC69" s="141">
        <f t="shared" ca="1" si="76"/>
        <v>188.20000000000002</v>
      </c>
      <c r="CE69" s="127" t="s">
        <v>126</v>
      </c>
      <c r="CF69" s="127" t="s">
        <v>50</v>
      </c>
      <c r="CG69" s="141">
        <f t="shared" ca="1" si="77"/>
        <v>0.23285714285714221</v>
      </c>
      <c r="CH69" s="141">
        <f t="shared" ca="1" si="78"/>
        <v>187.30819548872159</v>
      </c>
      <c r="CN69" s="127" t="s">
        <v>126</v>
      </c>
      <c r="CO69" s="127" t="s">
        <v>50</v>
      </c>
      <c r="CP69" s="141">
        <f t="shared" ca="1" si="79"/>
        <v>7.0000000000000104E-2</v>
      </c>
      <c r="CQ69" s="141">
        <f t="shared" ca="1" si="80"/>
        <v>246.81</v>
      </c>
      <c r="CS69" s="127" t="s">
        <v>126</v>
      </c>
      <c r="CT69" s="127" t="s">
        <v>50</v>
      </c>
      <c r="CU69" s="141">
        <f t="shared" ca="1" si="81"/>
        <v>0</v>
      </c>
      <c r="CV69" s="141">
        <f t="shared" ca="1" si="82"/>
        <v>246.51511278195494</v>
      </c>
      <c r="DB69" s="127" t="s">
        <v>126</v>
      </c>
      <c r="DC69" s="127" t="s">
        <v>50</v>
      </c>
      <c r="DD69" s="141">
        <f t="shared" ca="1" si="87"/>
        <v>0</v>
      </c>
      <c r="DE69" s="141">
        <f t="shared" ca="1" si="83"/>
        <v>306.74000000000007</v>
      </c>
      <c r="DG69" s="127" t="s">
        <v>126</v>
      </c>
      <c r="DH69" s="127" t="s">
        <v>50</v>
      </c>
      <c r="DI69" s="141">
        <f t="shared" ca="1" si="84"/>
        <v>0</v>
      </c>
      <c r="DJ69" s="141">
        <f t="shared" ca="1" si="85"/>
        <v>306.94962406015043</v>
      </c>
    </row>
    <row r="70" spans="1:118" x14ac:dyDescent="0.2">
      <c r="A70" s="127">
        <v>2006</v>
      </c>
      <c r="B70" s="130">
        <v>9</v>
      </c>
      <c r="C70" s="130">
        <v>17.006666666666668</v>
      </c>
      <c r="D70" s="131">
        <v>94.199999999999989</v>
      </c>
      <c r="E70" s="131">
        <v>4.3999999999999986</v>
      </c>
      <c r="F70" s="131">
        <v>52.099999999999994</v>
      </c>
      <c r="G70" s="131">
        <v>22.299999999999997</v>
      </c>
      <c r="H70" s="131">
        <v>27.8</v>
      </c>
      <c r="I70" s="131">
        <v>58</v>
      </c>
      <c r="J70" s="131">
        <v>10.3</v>
      </c>
      <c r="K70" s="131">
        <v>100.5</v>
      </c>
      <c r="L70" s="131">
        <v>2</v>
      </c>
      <c r="M70" s="131">
        <v>152.19999999999999</v>
      </c>
      <c r="N70" s="131">
        <v>0</v>
      </c>
      <c r="O70" s="131">
        <v>210.20000000000002</v>
      </c>
      <c r="P70" s="131">
        <v>0</v>
      </c>
      <c r="Q70" s="131">
        <v>270.20000000000005</v>
      </c>
      <c r="R70" s="145">
        <f>Purchases!D10</f>
        <v>15286330</v>
      </c>
      <c r="S70" s="128"/>
      <c r="T70" s="131"/>
      <c r="V70" s="127" t="s">
        <v>126</v>
      </c>
      <c r="W70" s="127" t="s">
        <v>51</v>
      </c>
      <c r="X70" s="141">
        <f t="shared" ca="1" si="60"/>
        <v>257.72000000000003</v>
      </c>
      <c r="Y70" s="141">
        <f t="shared" ca="1" si="61"/>
        <v>2.66</v>
      </c>
      <c r="AA70" s="127" t="s">
        <v>126</v>
      </c>
      <c r="AB70" s="127" t="s">
        <v>51</v>
      </c>
      <c r="AC70" s="141">
        <f t="shared" ca="1" si="62"/>
        <v>254.96398496240613</v>
      </c>
      <c r="AD70" s="141">
        <f t="shared" ca="1" si="63"/>
        <v>2.9354135338345912</v>
      </c>
      <c r="AJ70" s="127" t="s">
        <v>126</v>
      </c>
      <c r="AK70" s="127" t="s">
        <v>51</v>
      </c>
      <c r="AL70" s="141">
        <f t="shared" ca="1" si="64"/>
        <v>200.71</v>
      </c>
      <c r="AM70" s="141">
        <f t="shared" ca="1" si="65"/>
        <v>7.65</v>
      </c>
      <c r="AO70" s="127" t="s">
        <v>126</v>
      </c>
      <c r="AP70" s="127" t="s">
        <v>51</v>
      </c>
      <c r="AQ70" s="141">
        <f t="shared" ca="1" si="66"/>
        <v>198.16285714285721</v>
      </c>
      <c r="AR70" s="141">
        <f t="shared" ca="1" si="67"/>
        <v>8.1342857142857135</v>
      </c>
      <c r="AT70" s="141"/>
      <c r="AU70" s="141"/>
      <c r="AX70" s="127" t="s">
        <v>126</v>
      </c>
      <c r="AY70" s="127" t="s">
        <v>51</v>
      </c>
      <c r="AZ70" s="141">
        <f t="shared" ca="1" si="68"/>
        <v>148.63</v>
      </c>
      <c r="BA70" s="141">
        <f t="shared" ca="1" si="86"/>
        <v>17.57</v>
      </c>
      <c r="BC70" s="127" t="s">
        <v>126</v>
      </c>
      <c r="BD70" s="127" t="s">
        <v>51</v>
      </c>
      <c r="BE70" s="141">
        <f t="shared" ca="1" si="69"/>
        <v>146.1227067669173</v>
      </c>
      <c r="BF70" s="141">
        <f t="shared" ca="1" si="70"/>
        <v>18.094135338345865</v>
      </c>
      <c r="BL70" s="127" t="s">
        <v>126</v>
      </c>
      <c r="BM70" s="127" t="s">
        <v>51</v>
      </c>
      <c r="BN70" s="141">
        <f t="shared" ca="1" si="71"/>
        <v>103.38000000000002</v>
      </c>
      <c r="BO70" s="141">
        <f t="shared" ca="1" si="72"/>
        <v>34.32</v>
      </c>
      <c r="BQ70" s="127" t="s">
        <v>126</v>
      </c>
      <c r="BR70" s="127" t="s">
        <v>51</v>
      </c>
      <c r="BS70" s="141">
        <f t="shared" ca="1" si="73"/>
        <v>101.02962406015035</v>
      </c>
      <c r="BT70" s="141">
        <f t="shared" ca="1" si="74"/>
        <v>35.001052631578887</v>
      </c>
      <c r="BZ70" s="127" t="s">
        <v>126</v>
      </c>
      <c r="CA70" s="127" t="s">
        <v>51</v>
      </c>
      <c r="CB70" s="141">
        <f t="shared" ca="1" si="75"/>
        <v>65.039999999999992</v>
      </c>
      <c r="CC70" s="141">
        <f t="shared" ca="1" si="76"/>
        <v>57.98</v>
      </c>
      <c r="CE70" s="127" t="s">
        <v>126</v>
      </c>
      <c r="CF70" s="127" t="s">
        <v>51</v>
      </c>
      <c r="CG70" s="141">
        <f t="shared" ca="1" si="77"/>
        <v>62.76406015037594</v>
      </c>
      <c r="CH70" s="141">
        <f t="shared" ca="1" si="78"/>
        <v>58.735488721804472</v>
      </c>
      <c r="CN70" s="127" t="s">
        <v>126</v>
      </c>
      <c r="CO70" s="127" t="s">
        <v>51</v>
      </c>
      <c r="CP70" s="141">
        <f t="shared" ca="1" si="79"/>
        <v>35.1</v>
      </c>
      <c r="CQ70" s="141">
        <f t="shared" ca="1" si="80"/>
        <v>90.039999999999992</v>
      </c>
      <c r="CS70" s="127" t="s">
        <v>126</v>
      </c>
      <c r="CT70" s="127" t="s">
        <v>51</v>
      </c>
      <c r="CU70" s="141">
        <f t="shared" ca="1" si="81"/>
        <v>33.686165413533828</v>
      </c>
      <c r="CV70" s="141">
        <f t="shared" ca="1" si="82"/>
        <v>91.657593984962432</v>
      </c>
      <c r="DB70" s="127" t="s">
        <v>126</v>
      </c>
      <c r="DC70" s="127" t="s">
        <v>51</v>
      </c>
      <c r="DD70" s="141">
        <f t="shared" ca="1" si="87"/>
        <v>14.879999999999999</v>
      </c>
      <c r="DE70" s="141">
        <f t="shared" ca="1" si="83"/>
        <v>131.82</v>
      </c>
      <c r="DG70" s="127" t="s">
        <v>126</v>
      </c>
      <c r="DH70" s="127" t="s">
        <v>51</v>
      </c>
      <c r="DI70" s="141">
        <f t="shared" ca="1" si="84"/>
        <v>14.267969924812022</v>
      </c>
      <c r="DJ70" s="141">
        <f t="shared" ca="1" si="85"/>
        <v>134.2393984962406</v>
      </c>
    </row>
    <row r="71" spans="1:118" x14ac:dyDescent="0.2">
      <c r="A71" s="127">
        <v>2006</v>
      </c>
      <c r="B71" s="130">
        <v>10</v>
      </c>
      <c r="C71" s="130">
        <v>9.9677419354838683</v>
      </c>
      <c r="D71" s="131">
        <v>311.3</v>
      </c>
      <c r="E71" s="131">
        <v>0.30000000000000071</v>
      </c>
      <c r="F71" s="131">
        <v>251.29999999999998</v>
      </c>
      <c r="G71" s="131">
        <v>2.3000000000000007</v>
      </c>
      <c r="H71" s="131">
        <v>191.7</v>
      </c>
      <c r="I71" s="131">
        <v>4.6999999999999993</v>
      </c>
      <c r="J71" s="131">
        <v>136.50000000000003</v>
      </c>
      <c r="K71" s="131">
        <v>11.499999999999998</v>
      </c>
      <c r="L71" s="131">
        <v>90.600000000000023</v>
      </c>
      <c r="M71" s="131">
        <v>27.599999999999998</v>
      </c>
      <c r="N71" s="131">
        <v>53.3</v>
      </c>
      <c r="O71" s="131">
        <v>52.300000000000004</v>
      </c>
      <c r="P71" s="131">
        <v>26.199999999999996</v>
      </c>
      <c r="Q71" s="131">
        <v>87.200000000000031</v>
      </c>
      <c r="R71" s="145">
        <f>Purchases!D11</f>
        <v>15621710</v>
      </c>
      <c r="S71" s="128"/>
      <c r="T71" s="131"/>
      <c r="V71" s="127" t="s">
        <v>126</v>
      </c>
      <c r="W71" s="127" t="s">
        <v>52</v>
      </c>
      <c r="X71" s="141">
        <f t="shared" ca="1" si="60"/>
        <v>460.55</v>
      </c>
      <c r="Y71" s="141">
        <f t="shared" ca="1" si="61"/>
        <v>0</v>
      </c>
      <c r="AA71" s="127" t="s">
        <v>126</v>
      </c>
      <c r="AB71" s="127" t="s">
        <v>52</v>
      </c>
      <c r="AC71" s="141">
        <f t="shared" ca="1" si="62"/>
        <v>487.85120300751714</v>
      </c>
      <c r="AD71" s="141">
        <f t="shared" ca="1" si="63"/>
        <v>0</v>
      </c>
      <c r="AJ71" s="127" t="s">
        <v>126</v>
      </c>
      <c r="AK71" s="127" t="s">
        <v>52</v>
      </c>
      <c r="AL71" s="141">
        <f t="shared" ca="1" si="64"/>
        <v>400.69</v>
      </c>
      <c r="AM71" s="141">
        <f t="shared" ca="1" si="65"/>
        <v>0.13999999999999985</v>
      </c>
      <c r="AO71" s="127" t="s">
        <v>126</v>
      </c>
      <c r="AP71" s="127" t="s">
        <v>52</v>
      </c>
      <c r="AQ71" s="141">
        <f t="shared" ca="1" si="66"/>
        <v>428.15120300752096</v>
      </c>
      <c r="AR71" s="141">
        <f t="shared" ca="1" si="67"/>
        <v>0.30000000000000426</v>
      </c>
      <c r="AT71" s="141"/>
      <c r="AU71" s="141"/>
      <c r="AX71" s="127" t="s">
        <v>126</v>
      </c>
      <c r="AY71" s="127" t="s">
        <v>52</v>
      </c>
      <c r="AZ71" s="141">
        <f t="shared" ca="1" si="68"/>
        <v>340.99000000000007</v>
      </c>
      <c r="BA71" s="141">
        <f t="shared" ca="1" si="86"/>
        <v>0.43999999999999984</v>
      </c>
      <c r="BC71" s="127" t="s">
        <v>126</v>
      </c>
      <c r="BD71" s="127" t="s">
        <v>52</v>
      </c>
      <c r="BE71" s="141">
        <f t="shared" ca="1" si="69"/>
        <v>368.68225563909891</v>
      </c>
      <c r="BF71" s="141">
        <f t="shared" ca="1" si="70"/>
        <v>0.83105263157894171</v>
      </c>
      <c r="BL71" s="127" t="s">
        <v>126</v>
      </c>
      <c r="BM71" s="127" t="s">
        <v>52</v>
      </c>
      <c r="BN71" s="141">
        <f t="shared" ca="1" si="71"/>
        <v>282.42999999999995</v>
      </c>
      <c r="BO71" s="141">
        <f t="shared" ca="1" si="72"/>
        <v>1.8799999999999997</v>
      </c>
      <c r="BQ71" s="127" t="s">
        <v>126</v>
      </c>
      <c r="BR71" s="127" t="s">
        <v>52</v>
      </c>
      <c r="BS71" s="141">
        <f t="shared" ca="1" si="73"/>
        <v>310.16751879699132</v>
      </c>
      <c r="BT71" s="141">
        <f t="shared" ca="1" si="74"/>
        <v>2.3163157894736912</v>
      </c>
      <c r="BZ71" s="127" t="s">
        <v>126</v>
      </c>
      <c r="CA71" s="127" t="s">
        <v>52</v>
      </c>
      <c r="CB71" s="141">
        <f t="shared" ca="1" si="75"/>
        <v>226.25000000000009</v>
      </c>
      <c r="CC71" s="141">
        <f t="shared" ca="1" si="76"/>
        <v>5.6999999999999993</v>
      </c>
      <c r="CE71" s="127" t="s">
        <v>126</v>
      </c>
      <c r="CF71" s="127" t="s">
        <v>52</v>
      </c>
      <c r="CG71" s="141">
        <f t="shared" ca="1" si="77"/>
        <v>253.60624060150258</v>
      </c>
      <c r="CH71" s="141">
        <f t="shared" ca="1" si="78"/>
        <v>5.7550375939849614</v>
      </c>
      <c r="CN71" s="127" t="s">
        <v>126</v>
      </c>
      <c r="CO71" s="127" t="s">
        <v>52</v>
      </c>
      <c r="CP71" s="141">
        <f t="shared" ca="1" si="79"/>
        <v>173.03</v>
      </c>
      <c r="CQ71" s="141">
        <f t="shared" ca="1" si="80"/>
        <v>12.48</v>
      </c>
      <c r="CS71" s="127" t="s">
        <v>126</v>
      </c>
      <c r="CT71" s="127" t="s">
        <v>52</v>
      </c>
      <c r="CU71" s="141">
        <f t="shared" ca="1" si="81"/>
        <v>198.66932330827058</v>
      </c>
      <c r="CV71" s="141">
        <f t="shared" ca="1" si="82"/>
        <v>10.8181203007519</v>
      </c>
      <c r="DB71" s="127" t="s">
        <v>126</v>
      </c>
      <c r="DC71" s="127" t="s">
        <v>52</v>
      </c>
      <c r="DD71" s="141">
        <f t="shared" ca="1" si="87"/>
        <v>125.4</v>
      </c>
      <c r="DE71" s="141">
        <f t="shared" ca="1" si="83"/>
        <v>24.85</v>
      </c>
      <c r="DG71" s="127" t="s">
        <v>126</v>
      </c>
      <c r="DH71" s="127" t="s">
        <v>52</v>
      </c>
      <c r="DI71" s="141">
        <f t="shared" ca="1" si="84"/>
        <v>147.47248120300719</v>
      </c>
      <c r="DJ71" s="141">
        <f t="shared" ca="1" si="85"/>
        <v>19.621278195488685</v>
      </c>
    </row>
    <row r="72" spans="1:118" x14ac:dyDescent="0.2">
      <c r="A72" s="127">
        <v>2006</v>
      </c>
      <c r="B72" s="130">
        <v>11</v>
      </c>
      <c r="C72" s="130">
        <v>6.1066666666666656</v>
      </c>
      <c r="D72" s="131">
        <v>416.79999999999995</v>
      </c>
      <c r="E72" s="131">
        <v>0</v>
      </c>
      <c r="F72" s="131">
        <v>356.79999999999995</v>
      </c>
      <c r="G72" s="131">
        <v>0</v>
      </c>
      <c r="H72" s="131">
        <v>296.79999999999995</v>
      </c>
      <c r="I72" s="131">
        <v>0</v>
      </c>
      <c r="J72" s="131">
        <v>237.90000000000003</v>
      </c>
      <c r="K72" s="131">
        <v>1.0999999999999996</v>
      </c>
      <c r="L72" s="131">
        <v>181.80000000000004</v>
      </c>
      <c r="M72" s="131">
        <v>5</v>
      </c>
      <c r="N72" s="131">
        <v>132</v>
      </c>
      <c r="O72" s="131">
        <v>15.2</v>
      </c>
      <c r="P72" s="131">
        <v>89.199999999999989</v>
      </c>
      <c r="Q72" s="131">
        <v>32.400000000000006</v>
      </c>
      <c r="R72" s="145">
        <f>Purchases!D12</f>
        <v>19270390</v>
      </c>
      <c r="S72" s="128"/>
      <c r="T72" s="131"/>
      <c r="V72" s="127" t="s">
        <v>126</v>
      </c>
      <c r="W72" s="127" t="s">
        <v>53</v>
      </c>
      <c r="X72" s="141">
        <f t="shared" ca="1" si="60"/>
        <v>611.42000000000007</v>
      </c>
      <c r="Y72" s="141">
        <f t="shared" ca="1" si="61"/>
        <v>0</v>
      </c>
      <c r="AA72" s="127" t="s">
        <v>126</v>
      </c>
      <c r="AB72" s="127" t="s">
        <v>53</v>
      </c>
      <c r="AC72" s="141">
        <f t="shared" ca="1" si="62"/>
        <v>620.22135338345879</v>
      </c>
      <c r="AD72" s="141">
        <f t="shared" ca="1" si="63"/>
        <v>0</v>
      </c>
      <c r="AJ72" s="127" t="s">
        <v>126</v>
      </c>
      <c r="AK72" s="127" t="s">
        <v>53</v>
      </c>
      <c r="AL72" s="141">
        <f t="shared" ca="1" si="64"/>
        <v>549.42000000000007</v>
      </c>
      <c r="AM72" s="141">
        <f t="shared" ca="1" si="65"/>
        <v>0</v>
      </c>
      <c r="AO72" s="127" t="s">
        <v>126</v>
      </c>
      <c r="AP72" s="127" t="s">
        <v>53</v>
      </c>
      <c r="AQ72" s="141">
        <f t="shared" ca="1" si="66"/>
        <v>558.22135338345834</v>
      </c>
      <c r="AR72" s="141">
        <f t="shared" ca="1" si="67"/>
        <v>0</v>
      </c>
      <c r="AT72" s="141"/>
      <c r="AU72" s="141"/>
      <c r="AX72" s="127" t="s">
        <v>126</v>
      </c>
      <c r="AY72" s="127" t="s">
        <v>53</v>
      </c>
      <c r="AZ72" s="141">
        <f t="shared" ca="1" si="68"/>
        <v>487.42000000000007</v>
      </c>
      <c r="BA72" s="141">
        <f t="shared" ca="1" si="86"/>
        <v>0</v>
      </c>
      <c r="BC72" s="127" t="s">
        <v>126</v>
      </c>
      <c r="BD72" s="127" t="s">
        <v>53</v>
      </c>
      <c r="BE72" s="141">
        <f t="shared" ca="1" si="69"/>
        <v>496.22135338345856</v>
      </c>
      <c r="BF72" s="141">
        <f t="shared" ca="1" si="70"/>
        <v>0</v>
      </c>
      <c r="BL72" s="127" t="s">
        <v>126</v>
      </c>
      <c r="BM72" s="127" t="s">
        <v>53</v>
      </c>
      <c r="BN72" s="141">
        <f t="shared" ca="1" si="71"/>
        <v>425.42000000000007</v>
      </c>
      <c r="BO72" s="141">
        <f t="shared" ca="1" si="72"/>
        <v>0</v>
      </c>
      <c r="BQ72" s="127" t="s">
        <v>126</v>
      </c>
      <c r="BR72" s="127" t="s">
        <v>53</v>
      </c>
      <c r="BS72" s="141">
        <f t="shared" ca="1" si="73"/>
        <v>434.14135338345864</v>
      </c>
      <c r="BT72" s="141">
        <f t="shared" ca="1" si="74"/>
        <v>0</v>
      </c>
      <c r="BZ72" s="127" t="s">
        <v>126</v>
      </c>
      <c r="CA72" s="127" t="s">
        <v>53</v>
      </c>
      <c r="CB72" s="141">
        <f t="shared" ca="1" si="75"/>
        <v>363.49999999999994</v>
      </c>
      <c r="CC72" s="141">
        <f t="shared" ca="1" si="76"/>
        <v>8.0000000000000071E-2</v>
      </c>
      <c r="CE72" s="127" t="s">
        <v>126</v>
      </c>
      <c r="CF72" s="127" t="s">
        <v>53</v>
      </c>
      <c r="CG72" s="141">
        <f t="shared" ca="1" si="77"/>
        <v>372.01503759398497</v>
      </c>
      <c r="CH72" s="141">
        <f t="shared" ca="1" si="78"/>
        <v>0</v>
      </c>
      <c r="CN72" s="127" t="s">
        <v>126</v>
      </c>
      <c r="CO72" s="127" t="s">
        <v>53</v>
      </c>
      <c r="CP72" s="141">
        <f t="shared" ca="1" si="79"/>
        <v>302.12000000000006</v>
      </c>
      <c r="CQ72" s="141">
        <f t="shared" ca="1" si="80"/>
        <v>0.70000000000000018</v>
      </c>
      <c r="CS72" s="127" t="s">
        <v>126</v>
      </c>
      <c r="CT72" s="127" t="s">
        <v>53</v>
      </c>
      <c r="CU72" s="141">
        <f t="shared" ca="1" si="81"/>
        <v>310.37240601503754</v>
      </c>
      <c r="CV72" s="141">
        <f t="shared" ca="1" si="82"/>
        <v>0.1510526315789491</v>
      </c>
      <c r="DB72" s="127" t="s">
        <v>126</v>
      </c>
      <c r="DC72" s="127" t="s">
        <v>53</v>
      </c>
      <c r="DD72" s="141">
        <f t="shared" ca="1" si="87"/>
        <v>242.37000000000003</v>
      </c>
      <c r="DE72" s="141">
        <f t="shared" ca="1" si="83"/>
        <v>2.95</v>
      </c>
      <c r="DG72" s="127" t="s">
        <v>126</v>
      </c>
      <c r="DH72" s="127" t="s">
        <v>53</v>
      </c>
      <c r="DI72" s="141">
        <f t="shared" ca="1" si="84"/>
        <v>249.61887218045126</v>
      </c>
      <c r="DJ72" s="141">
        <f t="shared" ca="1" si="85"/>
        <v>1.3975187969925003</v>
      </c>
    </row>
    <row r="73" spans="1:118" x14ac:dyDescent="0.2">
      <c r="A73" s="127">
        <v>2006</v>
      </c>
      <c r="B73" s="130">
        <v>12</v>
      </c>
      <c r="C73" s="130">
        <v>3.1483870967741945</v>
      </c>
      <c r="D73" s="131">
        <v>522.4</v>
      </c>
      <c r="E73" s="131">
        <v>0</v>
      </c>
      <c r="F73" s="131">
        <v>460.40000000000003</v>
      </c>
      <c r="G73" s="131">
        <v>0</v>
      </c>
      <c r="H73" s="131">
        <v>398.40000000000009</v>
      </c>
      <c r="I73" s="131">
        <v>0</v>
      </c>
      <c r="J73" s="131">
        <v>336.40000000000009</v>
      </c>
      <c r="K73" s="131">
        <v>0</v>
      </c>
      <c r="L73" s="131">
        <v>274.40000000000009</v>
      </c>
      <c r="M73" s="131">
        <v>0</v>
      </c>
      <c r="N73" s="131">
        <v>212.99999999999997</v>
      </c>
      <c r="O73" s="131">
        <v>0.59999999999999964</v>
      </c>
      <c r="P73" s="131">
        <v>153.9</v>
      </c>
      <c r="Q73" s="131">
        <v>3.5</v>
      </c>
      <c r="R73" s="145">
        <f>Purchases!D13</f>
        <v>22725770</v>
      </c>
      <c r="S73" s="128"/>
      <c r="T73" s="131"/>
    </row>
    <row r="74" spans="1:118" x14ac:dyDescent="0.2">
      <c r="A74" s="127">
        <v>2007</v>
      </c>
      <c r="B74" s="130">
        <v>1</v>
      </c>
      <c r="C74" s="130">
        <v>-1.4322580645161289</v>
      </c>
      <c r="D74" s="131">
        <v>664.40000000000009</v>
      </c>
      <c r="E74" s="131">
        <v>0</v>
      </c>
      <c r="F74" s="131">
        <v>602.4</v>
      </c>
      <c r="G74" s="131">
        <v>0</v>
      </c>
      <c r="H74" s="131">
        <v>540.40000000000009</v>
      </c>
      <c r="I74" s="131">
        <v>0</v>
      </c>
      <c r="J74" s="131">
        <v>478.40000000000003</v>
      </c>
      <c r="K74" s="131">
        <v>0</v>
      </c>
      <c r="L74" s="131">
        <v>416.40000000000003</v>
      </c>
      <c r="M74" s="131">
        <v>0</v>
      </c>
      <c r="N74" s="131">
        <v>354.40000000000003</v>
      </c>
      <c r="O74" s="131">
        <v>0</v>
      </c>
      <c r="P74" s="131">
        <v>293.8</v>
      </c>
      <c r="Q74" s="131">
        <v>1.4000000000000004</v>
      </c>
      <c r="R74" s="145">
        <f>Purchases!D14</f>
        <v>23594230</v>
      </c>
      <c r="S74" s="128"/>
      <c r="T74" s="131"/>
      <c r="Z74" s="130"/>
    </row>
    <row r="75" spans="1:118" x14ac:dyDescent="0.2">
      <c r="A75" s="127">
        <v>2007</v>
      </c>
      <c r="B75" s="130">
        <v>2</v>
      </c>
      <c r="C75" s="130">
        <v>-7.2178571428571416</v>
      </c>
      <c r="D75" s="131">
        <v>762.10000000000014</v>
      </c>
      <c r="E75" s="131">
        <v>0</v>
      </c>
      <c r="F75" s="131">
        <v>706.10000000000014</v>
      </c>
      <c r="G75" s="131">
        <v>0</v>
      </c>
      <c r="H75" s="131">
        <v>650.1</v>
      </c>
      <c r="I75" s="131">
        <v>0</v>
      </c>
      <c r="J75" s="131">
        <v>594.1</v>
      </c>
      <c r="K75" s="131">
        <v>0</v>
      </c>
      <c r="L75" s="131">
        <v>538.1</v>
      </c>
      <c r="M75" s="131">
        <v>0</v>
      </c>
      <c r="N75" s="131">
        <v>482.1</v>
      </c>
      <c r="O75" s="131">
        <v>0</v>
      </c>
      <c r="P75" s="131">
        <v>426.1</v>
      </c>
      <c r="Q75" s="131">
        <v>0</v>
      </c>
      <c r="R75" s="145">
        <f>Purchases!D15</f>
        <v>23081780</v>
      </c>
      <c r="S75" s="128"/>
      <c r="T75" s="131"/>
      <c r="Z75" s="130"/>
    </row>
    <row r="76" spans="1:118" x14ac:dyDescent="0.2">
      <c r="A76" s="127">
        <v>2007</v>
      </c>
      <c r="B76" s="130">
        <v>3</v>
      </c>
      <c r="C76" s="130">
        <v>4.1580645161290315</v>
      </c>
      <c r="D76" s="131">
        <v>491.09999999999991</v>
      </c>
      <c r="E76" s="131">
        <v>0</v>
      </c>
      <c r="F76" s="131">
        <v>429.2999999999999</v>
      </c>
      <c r="G76" s="131">
        <v>0.19999999999999929</v>
      </c>
      <c r="H76" s="131">
        <v>370.2999999999999</v>
      </c>
      <c r="I76" s="131">
        <v>3.1999999999999993</v>
      </c>
      <c r="J76" s="131">
        <v>312.29999999999995</v>
      </c>
      <c r="K76" s="131">
        <v>7.1999999999999993</v>
      </c>
      <c r="L76" s="131">
        <v>256.3</v>
      </c>
      <c r="M76" s="131">
        <v>13.2</v>
      </c>
      <c r="N76" s="131">
        <v>204.2</v>
      </c>
      <c r="O76" s="131">
        <v>23.099999999999998</v>
      </c>
      <c r="P76" s="131">
        <v>156.19999999999999</v>
      </c>
      <c r="Q76" s="131">
        <v>37.099999999999994</v>
      </c>
      <c r="R76" s="145">
        <f>Purchases!D16</f>
        <v>22044680</v>
      </c>
      <c r="S76" s="128"/>
      <c r="T76" s="131"/>
      <c r="Z76" s="130"/>
      <c r="CP76" s="141"/>
      <c r="CQ76" s="141"/>
      <c r="CZ76" s="141"/>
      <c r="DA76" s="141"/>
      <c r="DD76" s="141"/>
      <c r="DE76" s="141"/>
      <c r="DN76" s="141"/>
    </row>
    <row r="77" spans="1:118" x14ac:dyDescent="0.2">
      <c r="A77" s="127">
        <v>2007</v>
      </c>
      <c r="B77" s="130">
        <v>4</v>
      </c>
      <c r="C77" s="130">
        <v>8.5233333333333317</v>
      </c>
      <c r="D77" s="131">
        <v>344.3</v>
      </c>
      <c r="E77" s="131">
        <v>0</v>
      </c>
      <c r="F77" s="131">
        <v>285.20000000000005</v>
      </c>
      <c r="G77" s="131">
        <v>0.89999999999999858</v>
      </c>
      <c r="H77" s="131">
        <v>229.90000000000003</v>
      </c>
      <c r="I77" s="131">
        <v>5.5999999999999979</v>
      </c>
      <c r="J77" s="131">
        <v>177.40000000000003</v>
      </c>
      <c r="K77" s="131">
        <v>13.099999999999998</v>
      </c>
      <c r="L77" s="131">
        <v>134.1</v>
      </c>
      <c r="M77" s="131">
        <v>29.800000000000004</v>
      </c>
      <c r="N77" s="131">
        <v>99.2</v>
      </c>
      <c r="O77" s="131">
        <v>54.9</v>
      </c>
      <c r="P77" s="131">
        <v>71.300000000000011</v>
      </c>
      <c r="Q77" s="131">
        <v>87</v>
      </c>
      <c r="R77" s="145">
        <f>Purchases!D17</f>
        <v>19604320</v>
      </c>
      <c r="S77" s="128"/>
      <c r="T77" s="131"/>
      <c r="Z77" s="130"/>
      <c r="CO77" s="141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C77" s="141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</row>
    <row r="78" spans="1:118" x14ac:dyDescent="0.2">
      <c r="A78" s="127">
        <v>2007</v>
      </c>
      <c r="B78" s="130">
        <v>5</v>
      </c>
      <c r="C78" s="130">
        <v>16.670967741935481</v>
      </c>
      <c r="D78" s="131">
        <v>126.9</v>
      </c>
      <c r="E78" s="131">
        <v>23.7</v>
      </c>
      <c r="F78" s="131">
        <v>87.200000000000017</v>
      </c>
      <c r="G78" s="131">
        <v>46</v>
      </c>
      <c r="H78" s="131">
        <v>54.1</v>
      </c>
      <c r="I78" s="131">
        <v>74.900000000000006</v>
      </c>
      <c r="J78" s="131">
        <v>25</v>
      </c>
      <c r="K78" s="131">
        <v>107.8</v>
      </c>
      <c r="L78" s="131">
        <v>5.6</v>
      </c>
      <c r="M78" s="131">
        <v>150.4</v>
      </c>
      <c r="N78" s="131">
        <v>0.69999999999999929</v>
      </c>
      <c r="O78" s="131">
        <v>207.50000000000006</v>
      </c>
      <c r="P78" s="131">
        <v>0</v>
      </c>
      <c r="Q78" s="131">
        <v>268.8</v>
      </c>
      <c r="R78" s="145">
        <f>Purchases!D18</f>
        <v>20629530</v>
      </c>
      <c r="S78" s="128"/>
      <c r="T78" s="131"/>
      <c r="Z78" s="130"/>
      <c r="CO78" s="141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C78" s="141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</row>
    <row r="79" spans="1:118" x14ac:dyDescent="0.2">
      <c r="A79" s="127">
        <v>2007</v>
      </c>
      <c r="B79" s="130">
        <v>6</v>
      </c>
      <c r="C79" s="130">
        <v>22.136666666666667</v>
      </c>
      <c r="D79" s="131">
        <v>18</v>
      </c>
      <c r="E79" s="131">
        <v>82.100000000000009</v>
      </c>
      <c r="F79" s="131">
        <v>8.1</v>
      </c>
      <c r="G79" s="131">
        <v>132.20000000000002</v>
      </c>
      <c r="H79" s="131">
        <v>4.0999999999999996</v>
      </c>
      <c r="I79" s="131">
        <v>188.2</v>
      </c>
      <c r="J79" s="131">
        <v>9.9999999999999645E-2</v>
      </c>
      <c r="K79" s="131">
        <v>244.2</v>
      </c>
      <c r="L79" s="131">
        <v>0</v>
      </c>
      <c r="M79" s="131">
        <v>304.09999999999997</v>
      </c>
      <c r="N79" s="131">
        <v>0</v>
      </c>
      <c r="O79" s="131">
        <v>364.09999999999997</v>
      </c>
      <c r="P79" s="131">
        <v>0</v>
      </c>
      <c r="Q79" s="131">
        <v>424.09999999999991</v>
      </c>
      <c r="R79" s="145">
        <f>Purchases!D19</f>
        <v>23858190</v>
      </c>
      <c r="S79" s="128"/>
      <c r="T79" s="131"/>
      <c r="Z79" s="130"/>
      <c r="CO79" s="141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C79" s="141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</row>
    <row r="80" spans="1:118" x14ac:dyDescent="0.2">
      <c r="A80" s="127">
        <v>2007</v>
      </c>
      <c r="B80" s="130">
        <v>7</v>
      </c>
      <c r="C80" s="130">
        <v>22.738709677419354</v>
      </c>
      <c r="D80" s="131">
        <v>6.8000000000000007</v>
      </c>
      <c r="E80" s="131">
        <v>91.7</v>
      </c>
      <c r="F80" s="131">
        <v>1.3000000000000007</v>
      </c>
      <c r="G80" s="131">
        <v>148.19999999999999</v>
      </c>
      <c r="H80" s="131">
        <v>0</v>
      </c>
      <c r="I80" s="131">
        <v>208.9</v>
      </c>
      <c r="J80" s="131">
        <v>0</v>
      </c>
      <c r="K80" s="131">
        <v>270.90000000000003</v>
      </c>
      <c r="L80" s="131">
        <v>0</v>
      </c>
      <c r="M80" s="131">
        <v>332.90000000000003</v>
      </c>
      <c r="N80" s="131">
        <v>0</v>
      </c>
      <c r="O80" s="131">
        <v>394.9</v>
      </c>
      <c r="P80" s="131">
        <v>0</v>
      </c>
      <c r="Q80" s="131">
        <v>456.90000000000003</v>
      </c>
      <c r="R80" s="145">
        <f>Purchases!D20</f>
        <v>24738400</v>
      </c>
      <c r="S80" s="128"/>
      <c r="T80" s="131"/>
      <c r="Z80" s="130"/>
      <c r="CO80" s="141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C80" s="141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</row>
    <row r="81" spans="1:118" x14ac:dyDescent="0.2">
      <c r="A81" s="127">
        <v>2007</v>
      </c>
      <c r="B81" s="130">
        <v>8</v>
      </c>
      <c r="C81" s="130">
        <v>23.258064516129025</v>
      </c>
      <c r="D81" s="131">
        <v>12.000000000000004</v>
      </c>
      <c r="E81" s="131">
        <v>113.00000000000001</v>
      </c>
      <c r="F81" s="131">
        <v>4.4000000000000021</v>
      </c>
      <c r="G81" s="131">
        <v>167.40000000000003</v>
      </c>
      <c r="H81" s="131">
        <v>0.30000000000000071</v>
      </c>
      <c r="I81" s="131">
        <v>225.30000000000004</v>
      </c>
      <c r="J81" s="131">
        <v>0</v>
      </c>
      <c r="K81" s="131">
        <v>287</v>
      </c>
      <c r="L81" s="131">
        <v>0</v>
      </c>
      <c r="M81" s="131">
        <v>349.00000000000011</v>
      </c>
      <c r="N81" s="131">
        <v>0</v>
      </c>
      <c r="O81" s="131">
        <v>411.00000000000006</v>
      </c>
      <c r="P81" s="131">
        <v>0</v>
      </c>
      <c r="Q81" s="131">
        <v>473.00000000000006</v>
      </c>
      <c r="R81" s="145">
        <f>Purchases!D21</f>
        <v>26868930</v>
      </c>
      <c r="S81" s="128"/>
      <c r="T81" s="131"/>
      <c r="Z81" s="130"/>
      <c r="CO81" s="141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C81" s="141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</row>
    <row r="82" spans="1:118" x14ac:dyDescent="0.2">
      <c r="A82" s="127">
        <v>2007</v>
      </c>
      <c r="B82" s="130">
        <v>9</v>
      </c>
      <c r="C82" s="130">
        <v>19.7</v>
      </c>
      <c r="D82" s="131">
        <v>50.099999999999994</v>
      </c>
      <c r="E82" s="131">
        <v>41.100000000000009</v>
      </c>
      <c r="F82" s="131">
        <v>25.399999999999995</v>
      </c>
      <c r="G82" s="131">
        <v>76.400000000000006</v>
      </c>
      <c r="H82" s="131">
        <v>12.299999999999999</v>
      </c>
      <c r="I82" s="131">
        <v>123.30000000000001</v>
      </c>
      <c r="J82" s="131">
        <v>5</v>
      </c>
      <c r="K82" s="131">
        <v>176</v>
      </c>
      <c r="L82" s="131">
        <v>0.59999999999999964</v>
      </c>
      <c r="M82" s="131">
        <v>231.6</v>
      </c>
      <c r="N82" s="131">
        <v>0</v>
      </c>
      <c r="O82" s="131">
        <v>291</v>
      </c>
      <c r="P82" s="131">
        <v>0</v>
      </c>
      <c r="Q82" s="131">
        <v>351.00000000000006</v>
      </c>
      <c r="R82" s="145">
        <f>Purchases!D22</f>
        <v>21805090</v>
      </c>
      <c r="S82" s="128"/>
      <c r="T82" s="131"/>
      <c r="Z82" s="130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09"/>
      <c r="AX82" s="142"/>
      <c r="AY82" s="142"/>
      <c r="AZ82" s="142"/>
      <c r="CO82" s="141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C82" s="141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</row>
    <row r="83" spans="1:118" x14ac:dyDescent="0.2">
      <c r="A83" s="127">
        <v>2007</v>
      </c>
      <c r="B83" s="130">
        <v>10</v>
      </c>
      <c r="C83" s="130">
        <v>15.77741935483871</v>
      </c>
      <c r="D83" s="131">
        <v>153.60000000000002</v>
      </c>
      <c r="E83" s="131">
        <v>22.700000000000003</v>
      </c>
      <c r="F83" s="131">
        <v>111.19999999999999</v>
      </c>
      <c r="G83" s="131">
        <v>42.300000000000011</v>
      </c>
      <c r="H83" s="131">
        <v>78.899999999999991</v>
      </c>
      <c r="I83" s="131">
        <v>71.999999999999986</v>
      </c>
      <c r="J83" s="131">
        <v>50.899999999999991</v>
      </c>
      <c r="K83" s="131">
        <v>105.99999999999999</v>
      </c>
      <c r="L83" s="131">
        <v>25</v>
      </c>
      <c r="M83" s="131">
        <v>142.1</v>
      </c>
      <c r="N83" s="131">
        <v>7.1000000000000005</v>
      </c>
      <c r="O83" s="131">
        <v>186.20000000000002</v>
      </c>
      <c r="P83" s="131">
        <v>0.70000000000000018</v>
      </c>
      <c r="Q83" s="131">
        <v>241.8</v>
      </c>
      <c r="R83" s="145">
        <f>Purchases!D23</f>
        <v>20415380</v>
      </c>
      <c r="S83" s="128"/>
      <c r="T83" s="131"/>
      <c r="Z83" s="130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09"/>
      <c r="AX83" s="142"/>
      <c r="AY83" s="142"/>
      <c r="AZ83" s="142"/>
      <c r="CO83" s="141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C83" s="141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</row>
    <row r="84" spans="1:118" x14ac:dyDescent="0.2">
      <c r="A84" s="127">
        <v>2007</v>
      </c>
      <c r="B84" s="130">
        <v>11</v>
      </c>
      <c r="C84" s="130">
        <v>4.6566666666666672</v>
      </c>
      <c r="D84" s="131">
        <v>460.3</v>
      </c>
      <c r="E84" s="131">
        <v>0</v>
      </c>
      <c r="F84" s="131">
        <v>400.3</v>
      </c>
      <c r="G84" s="131">
        <v>0</v>
      </c>
      <c r="H84" s="131">
        <v>340.3</v>
      </c>
      <c r="I84" s="131">
        <v>0</v>
      </c>
      <c r="J84" s="131">
        <v>280.29999999999995</v>
      </c>
      <c r="K84" s="131">
        <v>0</v>
      </c>
      <c r="L84" s="131">
        <v>220.89999999999998</v>
      </c>
      <c r="M84" s="131">
        <v>0.59999999999999964</v>
      </c>
      <c r="N84" s="131">
        <v>166.70000000000002</v>
      </c>
      <c r="O84" s="131">
        <v>6.4</v>
      </c>
      <c r="P84" s="131">
        <v>114.49999999999999</v>
      </c>
      <c r="Q84" s="131">
        <v>14.2</v>
      </c>
      <c r="R84" s="145">
        <f>Purchases!D24</f>
        <v>20794820</v>
      </c>
      <c r="S84" s="128"/>
      <c r="T84" s="131"/>
      <c r="Z84" s="130"/>
      <c r="CO84" s="141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C84" s="141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</row>
    <row r="85" spans="1:118" x14ac:dyDescent="0.2">
      <c r="A85" s="127">
        <v>2007</v>
      </c>
      <c r="B85" s="130">
        <v>12</v>
      </c>
      <c r="C85" s="130">
        <v>-1.1935483870967738</v>
      </c>
      <c r="D85" s="131">
        <v>656.99999999999989</v>
      </c>
      <c r="E85" s="131">
        <v>0</v>
      </c>
      <c r="F85" s="131">
        <v>595</v>
      </c>
      <c r="G85" s="131">
        <v>0</v>
      </c>
      <c r="H85" s="131">
        <v>533</v>
      </c>
      <c r="I85" s="131">
        <v>0</v>
      </c>
      <c r="J85" s="131">
        <v>471</v>
      </c>
      <c r="K85" s="131">
        <v>0</v>
      </c>
      <c r="L85" s="131">
        <v>409</v>
      </c>
      <c r="M85" s="131">
        <v>0</v>
      </c>
      <c r="N85" s="131">
        <v>347</v>
      </c>
      <c r="O85" s="131">
        <v>0</v>
      </c>
      <c r="P85" s="131">
        <v>285</v>
      </c>
      <c r="Q85" s="131">
        <v>0</v>
      </c>
      <c r="R85" s="145">
        <f>Purchases!D25</f>
        <v>23640870</v>
      </c>
      <c r="S85" s="128"/>
      <c r="T85" s="131"/>
      <c r="Z85" s="130"/>
      <c r="CO85" s="141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C85" s="141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</row>
    <row r="86" spans="1:118" x14ac:dyDescent="0.2">
      <c r="A86" s="127">
        <v>2008</v>
      </c>
      <c r="B86" s="130">
        <v>1</v>
      </c>
      <c r="C86" s="130">
        <v>-1.7161290322580647</v>
      </c>
      <c r="D86" s="131">
        <v>673.19999999999993</v>
      </c>
      <c r="E86" s="131">
        <v>0</v>
      </c>
      <c r="F86" s="131">
        <v>611.19999999999993</v>
      </c>
      <c r="G86" s="131">
        <v>0</v>
      </c>
      <c r="H86" s="131">
        <v>549.20000000000005</v>
      </c>
      <c r="I86" s="131">
        <v>0</v>
      </c>
      <c r="J86" s="131">
        <v>487.20000000000005</v>
      </c>
      <c r="K86" s="131">
        <v>0</v>
      </c>
      <c r="L86" s="131">
        <v>427.3</v>
      </c>
      <c r="M86" s="131">
        <v>2.0999999999999996</v>
      </c>
      <c r="N86" s="131">
        <v>369.30000000000007</v>
      </c>
      <c r="O86" s="131">
        <v>6.1</v>
      </c>
      <c r="P86" s="131">
        <v>311.3</v>
      </c>
      <c r="Q86" s="131">
        <v>10.1</v>
      </c>
      <c r="R86" s="145">
        <f>Purchases!D26</f>
        <v>24088720</v>
      </c>
      <c r="S86" s="128"/>
      <c r="T86" s="131"/>
      <c r="Z86" s="130"/>
      <c r="CO86" s="141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C86" s="141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</row>
    <row r="87" spans="1:118" x14ac:dyDescent="0.2">
      <c r="A87" s="127">
        <v>2008</v>
      </c>
      <c r="B87" s="130">
        <v>2</v>
      </c>
      <c r="C87" s="130">
        <v>-3.7</v>
      </c>
      <c r="D87" s="131">
        <v>687.3</v>
      </c>
      <c r="E87" s="131">
        <v>0</v>
      </c>
      <c r="F87" s="131">
        <v>629.29999999999995</v>
      </c>
      <c r="G87" s="131">
        <v>0</v>
      </c>
      <c r="H87" s="131">
        <v>571.29999999999984</v>
      </c>
      <c r="I87" s="131">
        <v>0</v>
      </c>
      <c r="J87" s="131">
        <v>513.29999999999995</v>
      </c>
      <c r="K87" s="131">
        <v>0</v>
      </c>
      <c r="L87" s="131">
        <v>455.2999999999999</v>
      </c>
      <c r="M87" s="131">
        <v>0</v>
      </c>
      <c r="N87" s="131">
        <v>397.2999999999999</v>
      </c>
      <c r="O87" s="131">
        <v>0</v>
      </c>
      <c r="P87" s="131">
        <v>339.29999999999995</v>
      </c>
      <c r="Q87" s="131">
        <v>0</v>
      </c>
      <c r="R87" s="145">
        <f>Purchases!D27</f>
        <v>22590240</v>
      </c>
      <c r="S87" s="128"/>
      <c r="T87" s="131"/>
      <c r="Z87" s="130"/>
      <c r="CO87" s="141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C87" s="141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</row>
    <row r="88" spans="1:118" x14ac:dyDescent="0.2">
      <c r="A88" s="127">
        <v>2008</v>
      </c>
      <c r="B88" s="130">
        <v>3</v>
      </c>
      <c r="C88" s="130">
        <v>0.52903225806451604</v>
      </c>
      <c r="D88" s="131">
        <v>603.6</v>
      </c>
      <c r="E88" s="131">
        <v>0</v>
      </c>
      <c r="F88" s="131">
        <v>541.6</v>
      </c>
      <c r="G88" s="131">
        <v>0</v>
      </c>
      <c r="H88" s="131">
        <v>479.60000000000008</v>
      </c>
      <c r="I88" s="131">
        <v>0</v>
      </c>
      <c r="J88" s="131">
        <v>417.60000000000008</v>
      </c>
      <c r="K88" s="131">
        <v>0</v>
      </c>
      <c r="L88" s="131">
        <v>355.6</v>
      </c>
      <c r="M88" s="131">
        <v>0</v>
      </c>
      <c r="N88" s="131">
        <v>294.40000000000003</v>
      </c>
      <c r="O88" s="131">
        <v>0.80000000000000071</v>
      </c>
      <c r="P88" s="131">
        <v>234.4</v>
      </c>
      <c r="Q88" s="131">
        <v>2.8000000000000007</v>
      </c>
      <c r="R88" s="145">
        <f>Purchases!D28</f>
        <v>22046700</v>
      </c>
      <c r="S88" s="128"/>
      <c r="T88" s="131"/>
      <c r="Z88" s="130"/>
      <c r="CO88" s="141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C88" s="141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</row>
    <row r="89" spans="1:118" x14ac:dyDescent="0.2">
      <c r="A89" s="127">
        <v>2008</v>
      </c>
      <c r="B89" s="130">
        <v>4</v>
      </c>
      <c r="C89" s="130">
        <v>10.583333333333334</v>
      </c>
      <c r="D89" s="131">
        <v>282.49999999999989</v>
      </c>
      <c r="E89" s="131">
        <v>0</v>
      </c>
      <c r="F89" s="131">
        <v>223.79999999999993</v>
      </c>
      <c r="G89" s="131">
        <v>1.3000000000000007</v>
      </c>
      <c r="H89" s="131">
        <v>168.79999999999993</v>
      </c>
      <c r="I89" s="131">
        <v>6.2999999999999972</v>
      </c>
      <c r="J89" s="131">
        <v>124.20000000000002</v>
      </c>
      <c r="K89" s="131">
        <v>21.7</v>
      </c>
      <c r="L89" s="131">
        <v>88.9</v>
      </c>
      <c r="M89" s="131">
        <v>46.399999999999984</v>
      </c>
      <c r="N89" s="131">
        <v>59.400000000000006</v>
      </c>
      <c r="O89" s="131">
        <v>76.899999999999991</v>
      </c>
      <c r="P89" s="131">
        <v>31.399999999999995</v>
      </c>
      <c r="Q89" s="131">
        <v>108.89999999999999</v>
      </c>
      <c r="R89" s="145">
        <f>Purchases!D29</f>
        <v>18811030</v>
      </c>
      <c r="S89" s="128"/>
      <c r="T89" s="131"/>
      <c r="Z89" s="130"/>
      <c r="CP89" s="141"/>
      <c r="CQ89" s="141"/>
      <c r="DD89" s="141"/>
      <c r="DE89" s="141"/>
    </row>
    <row r="90" spans="1:118" x14ac:dyDescent="0.2">
      <c r="A90" s="127">
        <v>2008</v>
      </c>
      <c r="B90" s="130">
        <v>5</v>
      </c>
      <c r="C90" s="130">
        <v>13.748387096774193</v>
      </c>
      <c r="D90" s="131">
        <v>199.39999999999998</v>
      </c>
      <c r="E90" s="131">
        <v>5.6000000000000014</v>
      </c>
      <c r="F90" s="131">
        <v>143.39999999999998</v>
      </c>
      <c r="G90" s="131">
        <v>11.600000000000001</v>
      </c>
      <c r="H90" s="131">
        <v>88.600000000000009</v>
      </c>
      <c r="I90" s="131">
        <v>18.799999999999997</v>
      </c>
      <c r="J90" s="131">
        <v>44.400000000000006</v>
      </c>
      <c r="K90" s="131">
        <v>36.599999999999994</v>
      </c>
      <c r="L90" s="131">
        <v>12.8</v>
      </c>
      <c r="M90" s="131">
        <v>66.999999999999986</v>
      </c>
      <c r="N90" s="131">
        <v>1.0999999999999996</v>
      </c>
      <c r="O90" s="131">
        <v>117.3</v>
      </c>
      <c r="P90" s="131">
        <v>0</v>
      </c>
      <c r="Q90" s="131">
        <v>178.20000000000005</v>
      </c>
      <c r="R90" s="145">
        <f>Purchases!D30</f>
        <v>18644710</v>
      </c>
      <c r="S90" s="128"/>
      <c r="T90" s="131"/>
      <c r="Z90" s="130"/>
    </row>
    <row r="91" spans="1:118" x14ac:dyDescent="0.2">
      <c r="A91" s="127">
        <v>2008</v>
      </c>
      <c r="B91" s="130">
        <v>6</v>
      </c>
      <c r="C91" s="130">
        <v>22.02333333333333</v>
      </c>
      <c r="D91" s="131">
        <v>15.199999999999996</v>
      </c>
      <c r="E91" s="131">
        <v>75.899999999999991</v>
      </c>
      <c r="F91" s="131">
        <v>3.1999999999999993</v>
      </c>
      <c r="G91" s="131">
        <v>123.89999999999998</v>
      </c>
      <c r="H91" s="131">
        <v>0.5</v>
      </c>
      <c r="I91" s="131">
        <v>181.20000000000002</v>
      </c>
      <c r="J91" s="131">
        <v>0</v>
      </c>
      <c r="K91" s="131">
        <v>240.70000000000005</v>
      </c>
      <c r="L91" s="131">
        <v>0</v>
      </c>
      <c r="M91" s="131">
        <v>300.70000000000005</v>
      </c>
      <c r="N91" s="131">
        <v>0</v>
      </c>
      <c r="O91" s="131">
        <v>360.7000000000001</v>
      </c>
      <c r="P91" s="131">
        <v>0</v>
      </c>
      <c r="Q91" s="131">
        <v>420.7000000000001</v>
      </c>
      <c r="R91" s="145">
        <f>Purchases!D31</f>
        <v>22711700</v>
      </c>
      <c r="S91" s="128"/>
      <c r="T91" s="131"/>
      <c r="Z91" s="130"/>
      <c r="CT91" s="141"/>
      <c r="CU91" s="141"/>
      <c r="CV91" s="141"/>
      <c r="DH91" s="141"/>
      <c r="DI91" s="141"/>
      <c r="DJ91" s="141"/>
    </row>
    <row r="92" spans="1:118" x14ac:dyDescent="0.2">
      <c r="A92" s="127">
        <v>2008</v>
      </c>
      <c r="B92" s="130">
        <v>7</v>
      </c>
      <c r="C92" s="130">
        <v>24.074193548387104</v>
      </c>
      <c r="D92" s="131">
        <v>4.6000000000000014</v>
      </c>
      <c r="E92" s="131">
        <v>130.9</v>
      </c>
      <c r="F92" s="131">
        <v>0.30000000000000071</v>
      </c>
      <c r="G92" s="131">
        <v>188.59999999999997</v>
      </c>
      <c r="H92" s="131">
        <v>0</v>
      </c>
      <c r="I92" s="131">
        <v>250.29999999999995</v>
      </c>
      <c r="J92" s="131">
        <v>0</v>
      </c>
      <c r="K92" s="131">
        <v>312.3</v>
      </c>
      <c r="L92" s="131">
        <v>0</v>
      </c>
      <c r="M92" s="131">
        <v>374.30000000000007</v>
      </c>
      <c r="N92" s="131">
        <v>0</v>
      </c>
      <c r="O92" s="131">
        <v>436.3</v>
      </c>
      <c r="P92" s="131">
        <v>0</v>
      </c>
      <c r="Q92" s="131">
        <v>498.3</v>
      </c>
      <c r="R92" s="145">
        <f>Purchases!D32</f>
        <v>26419990</v>
      </c>
      <c r="S92" s="128"/>
      <c r="T92" s="131"/>
      <c r="Z92" s="130"/>
      <c r="CT92" s="141"/>
      <c r="CU92" s="130"/>
      <c r="CV92" s="130"/>
      <c r="CW92" s="130"/>
      <c r="CX92" s="130"/>
      <c r="CY92" s="130"/>
      <c r="CZ92" s="130"/>
      <c r="DA92" s="130"/>
      <c r="DH92" s="141"/>
      <c r="DI92" s="130"/>
      <c r="DJ92" s="130"/>
      <c r="DK92" s="130"/>
      <c r="DL92" s="130"/>
      <c r="DM92" s="130"/>
      <c r="DN92" s="130"/>
    </row>
    <row r="93" spans="1:118" x14ac:dyDescent="0.2">
      <c r="A93" s="127">
        <v>2008</v>
      </c>
      <c r="B93" s="130">
        <v>8</v>
      </c>
      <c r="C93" s="130">
        <v>22.641935483870963</v>
      </c>
      <c r="D93" s="131">
        <v>5.9999999999999964</v>
      </c>
      <c r="E93" s="131">
        <v>87.9</v>
      </c>
      <c r="F93" s="131">
        <v>0.89999999999999858</v>
      </c>
      <c r="G93" s="131">
        <v>144.80000000000001</v>
      </c>
      <c r="H93" s="131">
        <v>0</v>
      </c>
      <c r="I93" s="131">
        <v>205.90000000000009</v>
      </c>
      <c r="J93" s="131">
        <v>0</v>
      </c>
      <c r="K93" s="131">
        <v>267.90000000000009</v>
      </c>
      <c r="L93" s="131">
        <v>0</v>
      </c>
      <c r="M93" s="131">
        <v>329.90000000000003</v>
      </c>
      <c r="N93" s="131">
        <v>0</v>
      </c>
      <c r="O93" s="131">
        <v>391.90000000000003</v>
      </c>
      <c r="P93" s="131">
        <v>0</v>
      </c>
      <c r="Q93" s="131">
        <v>453.90000000000003</v>
      </c>
      <c r="R93" s="145">
        <f>Purchases!D33</f>
        <v>24364410</v>
      </c>
      <c r="S93" s="128"/>
      <c r="T93" s="131"/>
      <c r="Z93" s="130"/>
      <c r="CT93" s="141"/>
      <c r="CU93" s="130"/>
      <c r="CV93" s="130"/>
      <c r="CW93" s="130"/>
      <c r="CX93" s="130"/>
      <c r="CY93" s="130"/>
      <c r="CZ93" s="130"/>
      <c r="DA93" s="130"/>
      <c r="DH93" s="141"/>
      <c r="DI93" s="130"/>
      <c r="DJ93" s="130"/>
      <c r="DK93" s="130"/>
      <c r="DL93" s="130"/>
      <c r="DM93" s="130"/>
      <c r="DN93" s="130"/>
    </row>
    <row r="94" spans="1:118" x14ac:dyDescent="0.2">
      <c r="A94" s="127">
        <v>2008</v>
      </c>
      <c r="B94" s="130">
        <v>9</v>
      </c>
      <c r="C94" s="130">
        <v>19.759999999999998</v>
      </c>
      <c r="D94" s="131">
        <v>38.4</v>
      </c>
      <c r="E94" s="131">
        <v>31.2</v>
      </c>
      <c r="F94" s="131">
        <v>12.200000000000001</v>
      </c>
      <c r="G94" s="131">
        <v>65</v>
      </c>
      <c r="H94" s="131">
        <v>0.59999999999999964</v>
      </c>
      <c r="I94" s="131">
        <v>113.40000000000003</v>
      </c>
      <c r="J94" s="131">
        <v>0</v>
      </c>
      <c r="K94" s="131">
        <v>172.8</v>
      </c>
      <c r="L94" s="131">
        <v>0</v>
      </c>
      <c r="M94" s="131">
        <v>232.79999999999995</v>
      </c>
      <c r="N94" s="131">
        <v>0</v>
      </c>
      <c r="O94" s="131">
        <v>292.7999999999999</v>
      </c>
      <c r="P94" s="131">
        <v>0</v>
      </c>
      <c r="Q94" s="131">
        <v>352.7999999999999</v>
      </c>
      <c r="R94" s="145">
        <f>Purchases!D34</f>
        <v>20565410</v>
      </c>
      <c r="S94" s="128"/>
      <c r="T94" s="131"/>
      <c r="Z94" s="130"/>
      <c r="CT94" s="141"/>
      <c r="CU94" s="130"/>
      <c r="CV94" s="130"/>
      <c r="CW94" s="130"/>
      <c r="CX94" s="130"/>
      <c r="CY94" s="130"/>
      <c r="CZ94" s="130"/>
      <c r="DA94" s="130"/>
      <c r="DH94" s="141"/>
      <c r="DI94" s="130"/>
      <c r="DJ94" s="130"/>
      <c r="DK94" s="130"/>
      <c r="DL94" s="130"/>
      <c r="DM94" s="130"/>
      <c r="DN94" s="130"/>
    </row>
    <row r="95" spans="1:118" x14ac:dyDescent="0.2">
      <c r="A95" s="127">
        <v>2008</v>
      </c>
      <c r="B95" s="130">
        <v>10</v>
      </c>
      <c r="C95" s="130">
        <v>10.987096774193546</v>
      </c>
      <c r="D95" s="131">
        <v>279.39999999999998</v>
      </c>
      <c r="E95" s="131">
        <v>0</v>
      </c>
      <c r="F95" s="131">
        <v>220.70000000000002</v>
      </c>
      <c r="G95" s="131">
        <v>3.2999999999999972</v>
      </c>
      <c r="H95" s="131">
        <v>164.40000000000003</v>
      </c>
      <c r="I95" s="131">
        <v>9</v>
      </c>
      <c r="J95" s="131">
        <v>115.8</v>
      </c>
      <c r="K95" s="131">
        <v>22.4</v>
      </c>
      <c r="L95" s="131">
        <v>72.5</v>
      </c>
      <c r="M95" s="131">
        <v>41.099999999999994</v>
      </c>
      <c r="N95" s="131">
        <v>37.499999999999993</v>
      </c>
      <c r="O95" s="131">
        <v>68.100000000000009</v>
      </c>
      <c r="P95" s="131">
        <v>18.7</v>
      </c>
      <c r="Q95" s="131">
        <v>111.29999999999997</v>
      </c>
      <c r="R95" s="145">
        <f>Purchases!D35</f>
        <v>18777310</v>
      </c>
      <c r="S95" s="128"/>
      <c r="T95" s="131"/>
      <c r="Z95" s="130"/>
      <c r="CT95" s="141"/>
      <c r="CU95" s="130"/>
      <c r="CV95" s="130"/>
      <c r="CW95" s="130"/>
      <c r="CX95" s="130"/>
      <c r="CY95" s="130"/>
      <c r="CZ95" s="130"/>
      <c r="DA95" s="130"/>
      <c r="DH95" s="141"/>
      <c r="DI95" s="130"/>
      <c r="DJ95" s="130"/>
      <c r="DK95" s="130"/>
      <c r="DL95" s="130"/>
      <c r="DM95" s="130"/>
      <c r="DN95" s="130"/>
    </row>
    <row r="96" spans="1:118" x14ac:dyDescent="0.2">
      <c r="A96" s="127">
        <v>2008</v>
      </c>
      <c r="B96" s="130">
        <v>11</v>
      </c>
      <c r="C96" s="130">
        <v>4.22</v>
      </c>
      <c r="D96" s="131">
        <v>473.4</v>
      </c>
      <c r="E96" s="131">
        <v>0</v>
      </c>
      <c r="F96" s="131">
        <v>413.4</v>
      </c>
      <c r="G96" s="131">
        <v>0</v>
      </c>
      <c r="H96" s="131">
        <v>353.40000000000003</v>
      </c>
      <c r="I96" s="131">
        <v>0</v>
      </c>
      <c r="J96" s="131">
        <v>295.00000000000006</v>
      </c>
      <c r="K96" s="131">
        <v>1.5999999999999996</v>
      </c>
      <c r="L96" s="131">
        <v>242.70000000000002</v>
      </c>
      <c r="M96" s="131">
        <v>9.3000000000000007</v>
      </c>
      <c r="N96" s="131">
        <v>193.4</v>
      </c>
      <c r="O96" s="131">
        <v>20</v>
      </c>
      <c r="P96" s="131">
        <v>147.9</v>
      </c>
      <c r="Q96" s="131">
        <v>34.5</v>
      </c>
      <c r="R96" s="145">
        <f>Purchases!D36</f>
        <v>20094850</v>
      </c>
      <c r="S96" s="128"/>
      <c r="T96" s="131"/>
      <c r="Z96" s="130"/>
      <c r="CT96" s="141"/>
      <c r="CU96" s="130"/>
      <c r="CV96" s="130"/>
      <c r="CW96" s="130"/>
      <c r="CX96" s="130"/>
      <c r="CY96" s="130"/>
      <c r="CZ96" s="130"/>
      <c r="DA96" s="130"/>
      <c r="DH96" s="141"/>
      <c r="DI96" s="130"/>
      <c r="DJ96" s="130"/>
      <c r="DK96" s="130"/>
      <c r="DL96" s="130"/>
      <c r="DM96" s="130"/>
      <c r="DN96" s="130"/>
    </row>
    <row r="97" spans="1:118" x14ac:dyDescent="0.2">
      <c r="A97" s="127">
        <v>2008</v>
      </c>
      <c r="B97" s="130">
        <v>12</v>
      </c>
      <c r="C97" s="130">
        <v>-2.3870967741935489</v>
      </c>
      <c r="D97" s="131">
        <v>694</v>
      </c>
      <c r="E97" s="131">
        <v>0</v>
      </c>
      <c r="F97" s="131">
        <v>632</v>
      </c>
      <c r="G97" s="131">
        <v>0</v>
      </c>
      <c r="H97" s="131">
        <v>570</v>
      </c>
      <c r="I97" s="131">
        <v>0</v>
      </c>
      <c r="J97" s="131">
        <v>507.99999999999994</v>
      </c>
      <c r="K97" s="131">
        <v>0</v>
      </c>
      <c r="L97" s="131">
        <v>445.99999999999989</v>
      </c>
      <c r="M97" s="131">
        <v>0</v>
      </c>
      <c r="N97" s="131">
        <v>384.7999999999999</v>
      </c>
      <c r="O97" s="131">
        <v>0.80000000000000071</v>
      </c>
      <c r="P97" s="131">
        <v>324.79999999999995</v>
      </c>
      <c r="Q97" s="131">
        <v>2.8000000000000007</v>
      </c>
      <c r="R97" s="145">
        <f>Purchases!D37</f>
        <v>23525530</v>
      </c>
      <c r="S97" s="128"/>
      <c r="T97" s="131"/>
      <c r="CT97" s="141"/>
      <c r="CU97" s="130"/>
      <c r="CV97" s="130"/>
      <c r="CW97" s="130"/>
      <c r="CX97" s="130"/>
      <c r="CY97" s="130"/>
      <c r="CZ97" s="130"/>
      <c r="DA97" s="130"/>
      <c r="DH97" s="141"/>
      <c r="DI97" s="130"/>
      <c r="DJ97" s="130"/>
      <c r="DK97" s="130"/>
      <c r="DL97" s="130"/>
      <c r="DM97" s="130"/>
      <c r="DN97" s="130"/>
    </row>
    <row r="98" spans="1:118" x14ac:dyDescent="0.2">
      <c r="A98" s="127">
        <v>2009</v>
      </c>
      <c r="B98" s="130">
        <v>1</v>
      </c>
      <c r="C98" s="130">
        <v>-7.7774193548387114</v>
      </c>
      <c r="D98" s="131">
        <v>861.0999999999998</v>
      </c>
      <c r="E98" s="131">
        <v>0</v>
      </c>
      <c r="F98" s="131">
        <v>799.0999999999998</v>
      </c>
      <c r="G98" s="131">
        <v>0</v>
      </c>
      <c r="H98" s="131">
        <v>737.0999999999998</v>
      </c>
      <c r="I98" s="131">
        <v>0</v>
      </c>
      <c r="J98" s="131">
        <v>675.0999999999998</v>
      </c>
      <c r="K98" s="131">
        <v>0</v>
      </c>
      <c r="L98" s="131">
        <v>613.09999999999991</v>
      </c>
      <c r="M98" s="131">
        <v>0</v>
      </c>
      <c r="N98" s="131">
        <v>551.1</v>
      </c>
      <c r="O98" s="131">
        <v>0</v>
      </c>
      <c r="P98" s="131">
        <v>489.09999999999997</v>
      </c>
      <c r="Q98" s="131">
        <v>0</v>
      </c>
      <c r="R98" s="145">
        <f>Purchases!D38</f>
        <v>24531230</v>
      </c>
      <c r="S98" s="128"/>
      <c r="T98" s="131"/>
      <c r="CT98" s="141"/>
      <c r="CU98" s="130"/>
      <c r="CV98" s="130"/>
      <c r="CW98" s="130"/>
      <c r="CX98" s="130"/>
      <c r="CY98" s="130"/>
      <c r="CZ98" s="130"/>
      <c r="DA98" s="130"/>
      <c r="DH98" s="141"/>
      <c r="DI98" s="130"/>
      <c r="DJ98" s="130"/>
      <c r="DK98" s="130"/>
      <c r="DL98" s="130"/>
      <c r="DM98" s="130"/>
      <c r="DN98" s="130"/>
    </row>
    <row r="99" spans="1:118" x14ac:dyDescent="0.2">
      <c r="A99" s="127">
        <v>2009</v>
      </c>
      <c r="B99" s="130">
        <v>2</v>
      </c>
      <c r="C99" s="130">
        <v>-1.7464285714285712</v>
      </c>
      <c r="D99" s="131">
        <v>608.89999999999986</v>
      </c>
      <c r="E99" s="131">
        <v>0</v>
      </c>
      <c r="F99" s="131">
        <v>552.9</v>
      </c>
      <c r="G99" s="131">
        <v>0</v>
      </c>
      <c r="H99" s="131">
        <v>496.90000000000003</v>
      </c>
      <c r="I99" s="131">
        <v>0</v>
      </c>
      <c r="J99" s="131">
        <v>440.9</v>
      </c>
      <c r="K99" s="131">
        <v>0</v>
      </c>
      <c r="L99" s="131">
        <v>384.90000000000003</v>
      </c>
      <c r="M99" s="131">
        <v>0</v>
      </c>
      <c r="N99" s="131">
        <v>328.9</v>
      </c>
      <c r="O99" s="131">
        <v>0</v>
      </c>
      <c r="P99" s="131">
        <v>274.60000000000002</v>
      </c>
      <c r="Q99" s="131">
        <v>1.6999999999999993</v>
      </c>
      <c r="R99" s="145">
        <f>Purchases!D39</f>
        <v>20746930</v>
      </c>
      <c r="S99" s="128"/>
      <c r="T99" s="131"/>
      <c r="CT99" s="141"/>
      <c r="CU99" s="130"/>
      <c r="CV99" s="130"/>
      <c r="CW99" s="130"/>
      <c r="CX99" s="130"/>
      <c r="CY99" s="130"/>
      <c r="CZ99" s="130"/>
      <c r="DA99" s="130"/>
      <c r="DH99" s="141"/>
      <c r="DI99" s="130"/>
      <c r="DJ99" s="130"/>
      <c r="DK99" s="130"/>
      <c r="DL99" s="130"/>
      <c r="DM99" s="130"/>
      <c r="DN99" s="130"/>
    </row>
    <row r="100" spans="1:118" x14ac:dyDescent="0.2">
      <c r="A100" s="127">
        <v>2009</v>
      </c>
      <c r="B100" s="130">
        <v>3</v>
      </c>
      <c r="C100" s="130">
        <v>3.0387096774193547</v>
      </c>
      <c r="D100" s="131">
        <v>525.80000000000018</v>
      </c>
      <c r="E100" s="131">
        <v>0</v>
      </c>
      <c r="F100" s="131">
        <v>463.80000000000007</v>
      </c>
      <c r="G100" s="131">
        <v>0</v>
      </c>
      <c r="H100" s="131">
        <v>401.8</v>
      </c>
      <c r="I100" s="131">
        <v>0</v>
      </c>
      <c r="J100" s="131">
        <v>339.8</v>
      </c>
      <c r="K100" s="131">
        <v>0</v>
      </c>
      <c r="L100" s="131">
        <v>277.7999999999999</v>
      </c>
      <c r="M100" s="131">
        <v>0</v>
      </c>
      <c r="N100" s="131">
        <v>217.69999999999993</v>
      </c>
      <c r="O100" s="131">
        <v>1.8999999999999986</v>
      </c>
      <c r="P100" s="131">
        <v>162.39999999999998</v>
      </c>
      <c r="Q100" s="131">
        <v>8.6</v>
      </c>
      <c r="R100" s="145">
        <f>Purchases!D40</f>
        <v>20762810</v>
      </c>
      <c r="S100" s="128"/>
      <c r="T100" s="131"/>
      <c r="CT100" s="141"/>
      <c r="CU100" s="130"/>
      <c r="CV100" s="130"/>
      <c r="CW100" s="130"/>
      <c r="CX100" s="130"/>
      <c r="CY100" s="130"/>
      <c r="CZ100" s="130"/>
      <c r="DA100" s="130"/>
      <c r="DH100" s="141"/>
      <c r="DI100" s="130"/>
      <c r="DJ100" s="130"/>
      <c r="DK100" s="130"/>
      <c r="DL100" s="130"/>
      <c r="DM100" s="130"/>
      <c r="DN100" s="130"/>
    </row>
    <row r="101" spans="1:118" x14ac:dyDescent="0.2">
      <c r="A101" s="127">
        <v>2009</v>
      </c>
      <c r="B101" s="130">
        <v>4</v>
      </c>
      <c r="C101" s="130">
        <v>9.5900000000000016</v>
      </c>
      <c r="D101" s="131">
        <v>316.7</v>
      </c>
      <c r="E101" s="131">
        <v>4.3999999999999986</v>
      </c>
      <c r="F101" s="131">
        <v>263.39999999999992</v>
      </c>
      <c r="G101" s="131">
        <v>11.099999999999998</v>
      </c>
      <c r="H101" s="131">
        <v>212.2</v>
      </c>
      <c r="I101" s="131">
        <v>19.899999999999999</v>
      </c>
      <c r="J101" s="131">
        <v>162.99999999999997</v>
      </c>
      <c r="K101" s="131">
        <v>30.7</v>
      </c>
      <c r="L101" s="131">
        <v>116.5</v>
      </c>
      <c r="M101" s="131">
        <v>44.2</v>
      </c>
      <c r="N101" s="131">
        <v>74.499999999999986</v>
      </c>
      <c r="O101" s="131">
        <v>62.2</v>
      </c>
      <c r="P101" s="131">
        <v>39.900000000000006</v>
      </c>
      <c r="Q101" s="131">
        <v>87.6</v>
      </c>
      <c r="R101" s="145">
        <f>Purchases!D41</f>
        <v>18304870</v>
      </c>
      <c r="S101" s="128"/>
      <c r="T101" s="131"/>
      <c r="CT101" s="141"/>
      <c r="CU101" s="130"/>
      <c r="CV101" s="130"/>
      <c r="CW101" s="130"/>
      <c r="CX101" s="130"/>
      <c r="CY101" s="130"/>
      <c r="CZ101" s="130"/>
      <c r="DA101" s="130"/>
      <c r="DH101" s="141"/>
      <c r="DI101" s="130"/>
      <c r="DJ101" s="130"/>
      <c r="DK101" s="130"/>
      <c r="DL101" s="130"/>
      <c r="DM101" s="130"/>
      <c r="DN101" s="130"/>
    </row>
    <row r="102" spans="1:118" x14ac:dyDescent="0.2">
      <c r="A102" s="127">
        <v>2009</v>
      </c>
      <c r="B102" s="130">
        <v>5</v>
      </c>
      <c r="C102" s="130">
        <v>16.032258064516132</v>
      </c>
      <c r="D102" s="131">
        <v>128.29999999999998</v>
      </c>
      <c r="E102" s="131">
        <v>5.3000000000000043</v>
      </c>
      <c r="F102" s="131">
        <v>75.8</v>
      </c>
      <c r="G102" s="131">
        <v>14.800000000000004</v>
      </c>
      <c r="H102" s="131">
        <v>35.9</v>
      </c>
      <c r="I102" s="131">
        <v>36.900000000000006</v>
      </c>
      <c r="J102" s="131">
        <v>11.099999999999998</v>
      </c>
      <c r="K102" s="131">
        <v>74.100000000000023</v>
      </c>
      <c r="L102" s="131">
        <v>1.7999999999999989</v>
      </c>
      <c r="M102" s="131">
        <v>126.80000000000001</v>
      </c>
      <c r="N102" s="131">
        <v>0</v>
      </c>
      <c r="O102" s="131">
        <v>186.99999999999997</v>
      </c>
      <c r="P102" s="131">
        <v>0</v>
      </c>
      <c r="Q102" s="131">
        <v>248.99999999999997</v>
      </c>
      <c r="R102" s="145">
        <f>Purchases!D42</f>
        <v>17564207.692307696</v>
      </c>
      <c r="S102" s="128"/>
      <c r="T102" s="131"/>
      <c r="CT102" s="141"/>
      <c r="CU102" s="130"/>
      <c r="CV102" s="130"/>
      <c r="CW102" s="130"/>
      <c r="CX102" s="130"/>
      <c r="CY102" s="130"/>
      <c r="CZ102" s="130"/>
      <c r="DA102" s="130"/>
      <c r="DH102" s="141"/>
      <c r="DI102" s="130"/>
      <c r="DJ102" s="130"/>
      <c r="DK102" s="130"/>
      <c r="DL102" s="130"/>
      <c r="DM102" s="130"/>
      <c r="DN102" s="130"/>
    </row>
    <row r="103" spans="1:118" x14ac:dyDescent="0.2">
      <c r="A103" s="127">
        <v>2009</v>
      </c>
      <c r="B103" s="130">
        <v>6</v>
      </c>
      <c r="C103" s="130">
        <v>19.493333333333336</v>
      </c>
      <c r="D103" s="131">
        <v>53.000000000000007</v>
      </c>
      <c r="E103" s="131">
        <v>37.799999999999997</v>
      </c>
      <c r="F103" s="131">
        <v>25.300000000000004</v>
      </c>
      <c r="G103" s="131">
        <v>70.099999999999994</v>
      </c>
      <c r="H103" s="131">
        <v>10.5</v>
      </c>
      <c r="I103" s="131">
        <v>115.30000000000001</v>
      </c>
      <c r="J103" s="131">
        <v>3.6999999999999993</v>
      </c>
      <c r="K103" s="131">
        <v>168.5</v>
      </c>
      <c r="L103" s="131">
        <v>0</v>
      </c>
      <c r="M103" s="131">
        <v>224.79999999999998</v>
      </c>
      <c r="N103" s="131">
        <v>0</v>
      </c>
      <c r="O103" s="131">
        <v>284.8</v>
      </c>
      <c r="P103" s="131">
        <v>0</v>
      </c>
      <c r="Q103" s="131">
        <v>344.80000000000007</v>
      </c>
      <c r="R103" s="145">
        <f>Purchases!D43</f>
        <v>20151815.384615388</v>
      </c>
      <c r="S103" s="128"/>
      <c r="T103" s="131"/>
      <c r="CT103" s="141"/>
      <c r="CU103" s="130"/>
      <c r="CV103" s="130"/>
      <c r="CW103" s="130"/>
      <c r="CX103" s="130"/>
      <c r="CY103" s="130"/>
      <c r="CZ103" s="130"/>
      <c r="DA103" s="130"/>
      <c r="DH103" s="141"/>
      <c r="DI103" s="130"/>
      <c r="DJ103" s="130"/>
      <c r="DK103" s="130"/>
      <c r="DL103" s="130"/>
      <c r="DM103" s="130"/>
      <c r="DN103" s="130"/>
    </row>
    <row r="104" spans="1:118" x14ac:dyDescent="0.2">
      <c r="A104" s="127">
        <v>2009</v>
      </c>
      <c r="B104" s="130">
        <v>7</v>
      </c>
      <c r="C104" s="130">
        <v>20.79354838709677</v>
      </c>
      <c r="D104" s="131">
        <v>13.8</v>
      </c>
      <c r="E104" s="131">
        <v>38.400000000000006</v>
      </c>
      <c r="F104" s="131">
        <v>1.4000000000000021</v>
      </c>
      <c r="G104" s="131">
        <v>87.999999999999986</v>
      </c>
      <c r="H104" s="131">
        <v>0</v>
      </c>
      <c r="I104" s="131">
        <v>148.60000000000002</v>
      </c>
      <c r="J104" s="131">
        <v>0</v>
      </c>
      <c r="K104" s="131">
        <v>210.60000000000002</v>
      </c>
      <c r="L104" s="131">
        <v>0</v>
      </c>
      <c r="M104" s="131">
        <v>272.60000000000002</v>
      </c>
      <c r="N104" s="131">
        <v>0</v>
      </c>
      <c r="O104" s="131">
        <v>334.59999999999997</v>
      </c>
      <c r="P104" s="131">
        <v>0</v>
      </c>
      <c r="Q104" s="131">
        <v>396.59999999999997</v>
      </c>
      <c r="R104" s="145">
        <f>Purchases!D44</f>
        <v>21718676.923076924</v>
      </c>
      <c r="S104" s="128"/>
      <c r="T104" s="131"/>
    </row>
    <row r="105" spans="1:118" x14ac:dyDescent="0.2">
      <c r="A105" s="127">
        <v>2009</v>
      </c>
      <c r="B105" s="130">
        <v>8</v>
      </c>
      <c r="C105" s="130">
        <v>21.793548387096774</v>
      </c>
      <c r="D105" s="131">
        <v>21</v>
      </c>
      <c r="E105" s="131">
        <v>76.599999999999994</v>
      </c>
      <c r="F105" s="131">
        <v>6.6999999999999993</v>
      </c>
      <c r="G105" s="131">
        <v>124.30000000000003</v>
      </c>
      <c r="H105" s="131">
        <v>1.1999999999999993</v>
      </c>
      <c r="I105" s="131">
        <v>180.79999999999998</v>
      </c>
      <c r="J105" s="131">
        <v>0</v>
      </c>
      <c r="K105" s="131">
        <v>241.6</v>
      </c>
      <c r="L105" s="131">
        <v>0</v>
      </c>
      <c r="M105" s="131">
        <v>303.59999999999991</v>
      </c>
      <c r="N105" s="131">
        <v>0</v>
      </c>
      <c r="O105" s="131">
        <v>365.59999999999997</v>
      </c>
      <c r="P105" s="131">
        <v>0</v>
      </c>
      <c r="Q105" s="131">
        <v>427.59999999999991</v>
      </c>
      <c r="R105" s="145">
        <f>Purchases!D45</f>
        <v>24301261.53846154</v>
      </c>
      <c r="S105" s="128"/>
      <c r="T105" s="131"/>
    </row>
    <row r="106" spans="1:118" x14ac:dyDescent="0.2">
      <c r="A106" s="127">
        <v>2009</v>
      </c>
      <c r="B106" s="130">
        <v>9</v>
      </c>
      <c r="C106" s="130">
        <v>18.649999999999995</v>
      </c>
      <c r="D106" s="131">
        <v>59.800000000000004</v>
      </c>
      <c r="E106" s="131">
        <v>19.299999999999997</v>
      </c>
      <c r="F106" s="131">
        <v>28</v>
      </c>
      <c r="G106" s="131">
        <v>47.499999999999986</v>
      </c>
      <c r="H106" s="131">
        <v>12.899999999999999</v>
      </c>
      <c r="I106" s="131">
        <v>92.399999999999991</v>
      </c>
      <c r="J106" s="131">
        <v>5.6999999999999993</v>
      </c>
      <c r="K106" s="131">
        <v>145.20000000000002</v>
      </c>
      <c r="L106" s="131">
        <v>2.0999999999999996</v>
      </c>
      <c r="M106" s="131">
        <v>201.60000000000002</v>
      </c>
      <c r="N106" s="131">
        <v>9.9999999999999645E-2</v>
      </c>
      <c r="O106" s="131">
        <v>259.59999999999997</v>
      </c>
      <c r="P106" s="131">
        <v>0</v>
      </c>
      <c r="Q106" s="131">
        <v>319.49999999999994</v>
      </c>
      <c r="R106" s="145">
        <f>Purchases!D46</f>
        <v>19833253.846153848</v>
      </c>
      <c r="S106" s="128"/>
      <c r="V106" s="131"/>
      <c r="X106" s="129"/>
      <c r="Y106" s="129"/>
      <c r="AW106" s="127"/>
      <c r="AY106" s="145"/>
    </row>
    <row r="107" spans="1:118" x14ac:dyDescent="0.2">
      <c r="A107" s="127">
        <v>2009</v>
      </c>
      <c r="B107" s="130">
        <v>10</v>
      </c>
      <c r="C107" s="130">
        <v>10.012903225806452</v>
      </c>
      <c r="D107" s="131">
        <v>309.59999999999991</v>
      </c>
      <c r="E107" s="131">
        <v>0</v>
      </c>
      <c r="F107" s="131">
        <v>247.60000000000002</v>
      </c>
      <c r="G107" s="131">
        <v>0</v>
      </c>
      <c r="H107" s="131">
        <v>186.3</v>
      </c>
      <c r="I107" s="131">
        <v>0.69999999999999929</v>
      </c>
      <c r="J107" s="131">
        <v>128.30000000000001</v>
      </c>
      <c r="K107" s="131">
        <v>4.6999999999999993</v>
      </c>
      <c r="L107" s="131">
        <v>74.700000000000017</v>
      </c>
      <c r="M107" s="131">
        <v>13.1</v>
      </c>
      <c r="N107" s="131">
        <v>39.400000000000006</v>
      </c>
      <c r="O107" s="131">
        <v>39.799999999999997</v>
      </c>
      <c r="P107" s="131">
        <v>19.899999999999999</v>
      </c>
      <c r="Q107" s="131">
        <v>82.3</v>
      </c>
      <c r="R107" s="145">
        <f>Purchases!D47</f>
        <v>19025038.46153846</v>
      </c>
      <c r="S107" s="128"/>
      <c r="V107" s="131"/>
      <c r="X107" s="129"/>
      <c r="Y107" s="129"/>
      <c r="Z107" s="129"/>
      <c r="AW107" s="127"/>
      <c r="AZ107" s="145"/>
    </row>
    <row r="108" spans="1:118" x14ac:dyDescent="0.2">
      <c r="A108" s="127">
        <v>2009</v>
      </c>
      <c r="B108" s="130">
        <v>11</v>
      </c>
      <c r="C108" s="130">
        <v>7.3166666666666655</v>
      </c>
      <c r="D108" s="131">
        <v>380.49999999999989</v>
      </c>
      <c r="E108" s="131">
        <v>0</v>
      </c>
      <c r="F108" s="131">
        <v>320.49999999999994</v>
      </c>
      <c r="G108" s="131">
        <v>0</v>
      </c>
      <c r="H108" s="131">
        <v>260.5</v>
      </c>
      <c r="I108" s="131">
        <v>0</v>
      </c>
      <c r="J108" s="131">
        <v>200.9</v>
      </c>
      <c r="K108" s="131">
        <v>0.40000000000000036</v>
      </c>
      <c r="L108" s="131">
        <v>144.40000000000003</v>
      </c>
      <c r="M108" s="131">
        <v>3.9000000000000004</v>
      </c>
      <c r="N108" s="131">
        <v>90.90000000000002</v>
      </c>
      <c r="O108" s="131">
        <v>10.4</v>
      </c>
      <c r="P108" s="131">
        <v>46.599999999999987</v>
      </c>
      <c r="Q108" s="131">
        <v>26.1</v>
      </c>
      <c r="R108" s="145">
        <f>Purchases!D48</f>
        <v>19026900</v>
      </c>
      <c r="S108" s="128"/>
      <c r="V108" s="131"/>
      <c r="X108" s="129"/>
      <c r="Y108" s="129"/>
      <c r="Z108" s="129"/>
      <c r="AW108" s="127"/>
      <c r="AZ108" s="145"/>
    </row>
    <row r="109" spans="1:118" x14ac:dyDescent="0.2">
      <c r="A109" s="127">
        <v>2009</v>
      </c>
      <c r="B109" s="130">
        <v>12</v>
      </c>
      <c r="C109" s="130">
        <v>-1.4645161290322577</v>
      </c>
      <c r="D109" s="131">
        <v>665.4</v>
      </c>
      <c r="E109" s="131">
        <v>0</v>
      </c>
      <c r="F109" s="131">
        <v>603.4</v>
      </c>
      <c r="G109" s="131">
        <v>0</v>
      </c>
      <c r="H109" s="131">
        <v>541.4</v>
      </c>
      <c r="I109" s="131">
        <v>0</v>
      </c>
      <c r="J109" s="131">
        <v>479.4</v>
      </c>
      <c r="K109" s="131">
        <v>0</v>
      </c>
      <c r="L109" s="131">
        <v>417.4</v>
      </c>
      <c r="M109" s="131">
        <v>0</v>
      </c>
      <c r="N109" s="131">
        <v>355.4</v>
      </c>
      <c r="O109" s="131">
        <v>0</v>
      </c>
      <c r="P109" s="131">
        <v>293.39999999999998</v>
      </c>
      <c r="Q109" s="131">
        <v>0</v>
      </c>
      <c r="R109" s="145">
        <f>Purchases!D49</f>
        <v>22891584.615384616</v>
      </c>
      <c r="S109" s="128"/>
      <c r="V109" s="131"/>
      <c r="X109" s="129"/>
      <c r="Y109" s="129"/>
      <c r="Z109" s="129"/>
      <c r="AW109" s="127"/>
      <c r="AZ109" s="145"/>
    </row>
    <row r="110" spans="1:118" x14ac:dyDescent="0.2">
      <c r="A110" s="127">
        <v>2010</v>
      </c>
      <c r="B110" s="130">
        <v>1</v>
      </c>
      <c r="C110" s="130">
        <v>-3.9258064516129036</v>
      </c>
      <c r="D110" s="131">
        <v>741.69999999999993</v>
      </c>
      <c r="E110" s="131">
        <v>0</v>
      </c>
      <c r="F110" s="131">
        <v>679.7</v>
      </c>
      <c r="G110" s="131">
        <v>0</v>
      </c>
      <c r="H110" s="131">
        <v>617.70000000000005</v>
      </c>
      <c r="I110" s="131">
        <v>0</v>
      </c>
      <c r="J110" s="131">
        <v>555.70000000000005</v>
      </c>
      <c r="K110" s="131">
        <v>0</v>
      </c>
      <c r="L110" s="131">
        <v>493.7</v>
      </c>
      <c r="M110" s="131">
        <v>0</v>
      </c>
      <c r="N110" s="131">
        <v>431.70000000000005</v>
      </c>
      <c r="O110" s="131">
        <v>0</v>
      </c>
      <c r="P110" s="131">
        <v>369.70000000000005</v>
      </c>
      <c r="Q110" s="131">
        <v>0</v>
      </c>
      <c r="R110" s="145">
        <f>Purchases!D50</f>
        <v>23520946.153846156</v>
      </c>
      <c r="S110" s="128"/>
      <c r="V110" s="131"/>
      <c r="X110" s="129"/>
      <c r="Y110" s="129"/>
      <c r="Z110" s="129"/>
      <c r="AW110" s="127"/>
      <c r="AZ110" s="145"/>
    </row>
    <row r="111" spans="1:118" x14ac:dyDescent="0.2">
      <c r="A111" s="127">
        <v>2010</v>
      </c>
      <c r="B111" s="130">
        <v>2</v>
      </c>
      <c r="C111" s="130">
        <v>-2.3892857142857147</v>
      </c>
      <c r="D111" s="131">
        <v>626.9</v>
      </c>
      <c r="E111" s="131">
        <v>0</v>
      </c>
      <c r="F111" s="131">
        <v>570.89999999999986</v>
      </c>
      <c r="G111" s="131">
        <v>0</v>
      </c>
      <c r="H111" s="131">
        <v>514.9</v>
      </c>
      <c r="I111" s="131">
        <v>0</v>
      </c>
      <c r="J111" s="131">
        <v>458.9</v>
      </c>
      <c r="K111" s="131">
        <v>0</v>
      </c>
      <c r="L111" s="131">
        <v>402.89999999999992</v>
      </c>
      <c r="M111" s="131">
        <v>0</v>
      </c>
      <c r="N111" s="131">
        <v>346.9</v>
      </c>
      <c r="O111" s="131">
        <v>0</v>
      </c>
      <c r="P111" s="131">
        <v>290.90000000000003</v>
      </c>
      <c r="Q111" s="131">
        <v>0</v>
      </c>
      <c r="R111" s="145">
        <f>Purchases!D51</f>
        <v>20573876.923076924</v>
      </c>
      <c r="S111" s="128"/>
      <c r="V111" s="131"/>
      <c r="X111" s="129"/>
      <c r="Y111" s="129"/>
      <c r="Z111" s="129"/>
      <c r="AW111" s="127"/>
      <c r="AZ111" s="145"/>
    </row>
    <row r="112" spans="1:118" x14ac:dyDescent="0.2">
      <c r="A112" s="127">
        <v>2010</v>
      </c>
      <c r="B112" s="130">
        <v>3</v>
      </c>
      <c r="C112" s="130">
        <v>5.1903225806451605</v>
      </c>
      <c r="D112" s="131">
        <v>459.10000000000008</v>
      </c>
      <c r="E112" s="131">
        <v>0</v>
      </c>
      <c r="F112" s="131">
        <v>397.1</v>
      </c>
      <c r="G112" s="131">
        <v>0</v>
      </c>
      <c r="H112" s="131">
        <v>335.1</v>
      </c>
      <c r="I112" s="131">
        <v>0</v>
      </c>
      <c r="J112" s="131">
        <v>273.09999999999997</v>
      </c>
      <c r="K112" s="131">
        <v>0</v>
      </c>
      <c r="L112" s="131">
        <v>211.30000000000004</v>
      </c>
      <c r="M112" s="131">
        <v>0.19999999999999929</v>
      </c>
      <c r="N112" s="131">
        <v>154.19999999999999</v>
      </c>
      <c r="O112" s="131">
        <v>5.0999999999999996</v>
      </c>
      <c r="P112" s="131">
        <v>103.89999999999996</v>
      </c>
      <c r="Q112" s="131">
        <v>16.8</v>
      </c>
      <c r="R112" s="145">
        <f>Purchases!D52</f>
        <v>20520861.53846154</v>
      </c>
      <c r="S112" s="128"/>
      <c r="V112" s="131"/>
      <c r="X112" s="129"/>
      <c r="Y112" s="129"/>
      <c r="Z112" s="129"/>
      <c r="AW112" s="127"/>
      <c r="AZ112" s="145"/>
    </row>
    <row r="113" spans="1:52" x14ac:dyDescent="0.2">
      <c r="A113" s="127">
        <v>2010</v>
      </c>
      <c r="B113" s="130">
        <v>4</v>
      </c>
      <c r="C113" s="130">
        <v>11.933333333333332</v>
      </c>
      <c r="D113" s="131">
        <v>242</v>
      </c>
      <c r="E113" s="131">
        <v>0</v>
      </c>
      <c r="F113" s="131">
        <v>183.4</v>
      </c>
      <c r="G113" s="131">
        <v>1.4000000000000021</v>
      </c>
      <c r="H113" s="131">
        <v>135.59999999999997</v>
      </c>
      <c r="I113" s="131">
        <v>13.599999999999998</v>
      </c>
      <c r="J113" s="131">
        <v>91.6</v>
      </c>
      <c r="K113" s="131">
        <v>29.599999999999998</v>
      </c>
      <c r="L113" s="131">
        <v>51.2</v>
      </c>
      <c r="M113" s="131">
        <v>49.199999999999989</v>
      </c>
      <c r="N113" s="131">
        <v>22.500000000000007</v>
      </c>
      <c r="O113" s="131">
        <v>80.5</v>
      </c>
      <c r="P113" s="131">
        <v>7.1999999999999993</v>
      </c>
      <c r="Q113" s="131">
        <v>125.20000000000002</v>
      </c>
      <c r="R113" s="145">
        <f>Purchases!D53</f>
        <v>17431446.153846156</v>
      </c>
      <c r="S113" s="128"/>
      <c r="V113" s="131"/>
      <c r="X113" s="129"/>
      <c r="Y113" s="129"/>
      <c r="Z113" s="129"/>
      <c r="AK113" s="127" t="s">
        <v>178</v>
      </c>
      <c r="AW113" s="127"/>
      <c r="AZ113" s="145"/>
    </row>
    <row r="114" spans="1:52" x14ac:dyDescent="0.2">
      <c r="A114" s="127">
        <v>2010</v>
      </c>
      <c r="B114" s="130">
        <v>5</v>
      </c>
      <c r="C114" s="130">
        <v>16.64516129032258</v>
      </c>
      <c r="D114" s="131">
        <v>125.70000000000002</v>
      </c>
      <c r="E114" s="131">
        <v>21.700000000000003</v>
      </c>
      <c r="F114" s="131">
        <v>91.9</v>
      </c>
      <c r="G114" s="131">
        <v>49.9</v>
      </c>
      <c r="H114" s="131">
        <v>63.699999999999996</v>
      </c>
      <c r="I114" s="131">
        <v>83.699999999999989</v>
      </c>
      <c r="J114" s="131">
        <v>39.299999999999997</v>
      </c>
      <c r="K114" s="131">
        <v>121.30000000000001</v>
      </c>
      <c r="L114" s="131">
        <v>21.9</v>
      </c>
      <c r="M114" s="131">
        <v>165.9</v>
      </c>
      <c r="N114" s="131">
        <v>10.900000000000002</v>
      </c>
      <c r="O114" s="131">
        <v>216.9</v>
      </c>
      <c r="P114" s="131">
        <v>1.1000000000000005</v>
      </c>
      <c r="Q114" s="131">
        <v>269.10000000000002</v>
      </c>
      <c r="R114" s="145">
        <f>Purchases!D54</f>
        <v>19189807.692307692</v>
      </c>
      <c r="S114" s="128"/>
      <c r="V114" s="131"/>
      <c r="X114" s="129"/>
      <c r="Y114" s="129"/>
      <c r="Z114" s="129"/>
      <c r="AK114" s="127" t="s">
        <v>176</v>
      </c>
      <c r="AW114" s="127"/>
      <c r="AZ114" s="145"/>
    </row>
    <row r="115" spans="1:52" x14ac:dyDescent="0.2">
      <c r="A115" s="127">
        <v>2010</v>
      </c>
      <c r="B115" s="130">
        <v>6</v>
      </c>
      <c r="C115" s="130">
        <v>21.950000000000003</v>
      </c>
      <c r="D115" s="131">
        <v>14.700000000000003</v>
      </c>
      <c r="E115" s="131">
        <v>73.199999999999989</v>
      </c>
      <c r="F115" s="131">
        <v>5.7000000000000028</v>
      </c>
      <c r="G115" s="131">
        <v>124.20000000000002</v>
      </c>
      <c r="H115" s="131">
        <v>0.5</v>
      </c>
      <c r="I115" s="131">
        <v>178.99999999999997</v>
      </c>
      <c r="J115" s="131">
        <v>0</v>
      </c>
      <c r="K115" s="131">
        <v>238.49999999999997</v>
      </c>
      <c r="L115" s="131">
        <v>0</v>
      </c>
      <c r="M115" s="131">
        <v>298.5</v>
      </c>
      <c r="N115" s="131">
        <v>0</v>
      </c>
      <c r="O115" s="131">
        <v>358.5</v>
      </c>
      <c r="P115" s="131">
        <v>0</v>
      </c>
      <c r="Q115" s="131">
        <v>418.5</v>
      </c>
      <c r="R115" s="145">
        <f>Purchases!D55</f>
        <v>23092030.769230768</v>
      </c>
      <c r="S115" s="128"/>
      <c r="V115" s="131"/>
      <c r="X115" s="129"/>
      <c r="Y115" s="129"/>
      <c r="Z115" s="129"/>
      <c r="AK115" s="127" t="s">
        <v>179</v>
      </c>
      <c r="AW115" s="127"/>
      <c r="AZ115" s="145"/>
    </row>
    <row r="116" spans="1:52" x14ac:dyDescent="0.2">
      <c r="A116" s="127">
        <v>2010</v>
      </c>
      <c r="B116" s="130">
        <v>7</v>
      </c>
      <c r="C116" s="130">
        <v>24.970967741935478</v>
      </c>
      <c r="D116" s="131">
        <v>2.7000000000000028</v>
      </c>
      <c r="E116" s="131">
        <v>156.80000000000001</v>
      </c>
      <c r="F116" s="131">
        <v>0.10000000000000142</v>
      </c>
      <c r="G116" s="131">
        <v>216.20000000000005</v>
      </c>
      <c r="H116" s="131">
        <v>0</v>
      </c>
      <c r="I116" s="131">
        <v>278.10000000000002</v>
      </c>
      <c r="J116" s="131">
        <v>0</v>
      </c>
      <c r="K116" s="131">
        <v>340.09999999999997</v>
      </c>
      <c r="L116" s="131">
        <v>0</v>
      </c>
      <c r="M116" s="131">
        <v>402.1</v>
      </c>
      <c r="N116" s="131">
        <v>0</v>
      </c>
      <c r="O116" s="131">
        <v>464.1</v>
      </c>
      <c r="P116" s="131">
        <v>0</v>
      </c>
      <c r="Q116" s="131">
        <v>526.1</v>
      </c>
      <c r="R116" s="145">
        <f>Purchases!D56</f>
        <v>28187746.153846156</v>
      </c>
      <c r="S116" s="128"/>
      <c r="V116" s="131"/>
      <c r="X116" s="129"/>
      <c r="Y116" s="129"/>
      <c r="Z116" s="129"/>
      <c r="AW116" s="127"/>
      <c r="AZ116" s="145"/>
    </row>
    <row r="117" spans="1:52" x14ac:dyDescent="0.2">
      <c r="A117" s="127">
        <v>2010</v>
      </c>
      <c r="B117" s="130">
        <v>8</v>
      </c>
      <c r="C117" s="130">
        <v>24.106451612903228</v>
      </c>
      <c r="D117" s="131">
        <v>3</v>
      </c>
      <c r="E117" s="131">
        <v>130.30000000000001</v>
      </c>
      <c r="F117" s="131">
        <v>0</v>
      </c>
      <c r="G117" s="131">
        <v>189.29999999999995</v>
      </c>
      <c r="H117" s="131">
        <v>0</v>
      </c>
      <c r="I117" s="131">
        <v>251.29999999999995</v>
      </c>
      <c r="J117" s="131">
        <v>0</v>
      </c>
      <c r="K117" s="131">
        <v>313.29999999999995</v>
      </c>
      <c r="L117" s="131">
        <v>0</v>
      </c>
      <c r="M117" s="131">
        <v>375.3</v>
      </c>
      <c r="N117" s="131">
        <v>0</v>
      </c>
      <c r="O117" s="131">
        <v>437.3</v>
      </c>
      <c r="P117" s="131">
        <v>0</v>
      </c>
      <c r="Q117" s="131">
        <v>499.3</v>
      </c>
      <c r="R117" s="145">
        <f>Purchases!D57</f>
        <v>26984638.46153846</v>
      </c>
      <c r="S117" s="128"/>
      <c r="V117" s="131"/>
      <c r="X117" s="129"/>
      <c r="Y117" s="129"/>
      <c r="Z117" s="129"/>
      <c r="AL117" s="127" t="s">
        <v>107</v>
      </c>
      <c r="AM117" s="127" t="s">
        <v>108</v>
      </c>
      <c r="AN117" s="127" t="s">
        <v>109</v>
      </c>
      <c r="AO117" s="127" t="s">
        <v>110</v>
      </c>
      <c r="AW117" s="127"/>
      <c r="AZ117" s="145"/>
    </row>
    <row r="118" spans="1:52" x14ac:dyDescent="0.2">
      <c r="A118" s="127">
        <v>2010</v>
      </c>
      <c r="B118" s="130">
        <v>9</v>
      </c>
      <c r="C118" s="130">
        <v>18.236666666666661</v>
      </c>
      <c r="D118" s="131">
        <v>81.7</v>
      </c>
      <c r="E118" s="131">
        <v>28.799999999999997</v>
      </c>
      <c r="F118" s="131">
        <v>42.900000000000006</v>
      </c>
      <c r="G118" s="131">
        <v>50</v>
      </c>
      <c r="H118" s="131">
        <v>14</v>
      </c>
      <c r="I118" s="131">
        <v>81.100000000000009</v>
      </c>
      <c r="J118" s="131">
        <v>3.5</v>
      </c>
      <c r="K118" s="131">
        <v>130.60000000000002</v>
      </c>
      <c r="L118" s="131">
        <v>9.9999999999999645E-2</v>
      </c>
      <c r="M118" s="131">
        <v>187.20000000000002</v>
      </c>
      <c r="N118" s="131">
        <v>0</v>
      </c>
      <c r="O118" s="131">
        <v>247.09999999999997</v>
      </c>
      <c r="P118" s="131">
        <v>0</v>
      </c>
      <c r="Q118" s="131">
        <v>307.09999999999997</v>
      </c>
      <c r="R118" s="145">
        <f>Purchases!D58</f>
        <v>19634115.384615384</v>
      </c>
      <c r="S118" s="128"/>
      <c r="V118" s="131"/>
      <c r="X118" s="129"/>
      <c r="Y118" s="129"/>
      <c r="Z118" s="129"/>
      <c r="AK118" s="127" t="s">
        <v>111</v>
      </c>
      <c r="AL118" s="127">
        <v>15479039.7208548</v>
      </c>
      <c r="AM118" s="127">
        <v>241583.01887493499</v>
      </c>
      <c r="AN118" s="127">
        <v>64.073376485406598</v>
      </c>
      <c r="AO118" s="143">
        <v>5.8422664575683099E-93</v>
      </c>
      <c r="AW118" s="127"/>
      <c r="AZ118" s="145"/>
    </row>
    <row r="119" spans="1:52" x14ac:dyDescent="0.2">
      <c r="A119" s="127">
        <v>2010</v>
      </c>
      <c r="B119" s="130">
        <v>10</v>
      </c>
      <c r="C119" s="130">
        <v>12.696774193548386</v>
      </c>
      <c r="D119" s="131">
        <v>226.39999999999995</v>
      </c>
      <c r="E119" s="131">
        <v>0</v>
      </c>
      <c r="F119" s="131">
        <v>165.7</v>
      </c>
      <c r="G119" s="131">
        <v>1.3000000000000007</v>
      </c>
      <c r="H119" s="131">
        <v>112.2</v>
      </c>
      <c r="I119" s="131">
        <v>9.8000000000000007</v>
      </c>
      <c r="J119" s="131">
        <v>67.399999999999991</v>
      </c>
      <c r="K119" s="131">
        <v>27</v>
      </c>
      <c r="L119" s="131">
        <v>32</v>
      </c>
      <c r="M119" s="131">
        <v>53.599999999999994</v>
      </c>
      <c r="N119" s="131">
        <v>11.099999999999996</v>
      </c>
      <c r="O119" s="131">
        <v>94.7</v>
      </c>
      <c r="P119" s="131">
        <v>2.5999999999999996</v>
      </c>
      <c r="Q119" s="131">
        <v>148.20000000000002</v>
      </c>
      <c r="R119" s="145">
        <f>Purchases!D59</f>
        <v>18062553.846153848</v>
      </c>
      <c r="S119" s="128"/>
      <c r="V119" s="131"/>
      <c r="X119" s="129"/>
      <c r="Y119" s="129"/>
      <c r="Z119" s="129"/>
      <c r="AK119" s="127" t="s">
        <v>93</v>
      </c>
      <c r="AL119" s="143">
        <v>11777.1920636901</v>
      </c>
      <c r="AM119" s="127">
        <v>573.80212818930897</v>
      </c>
      <c r="AN119" s="127">
        <v>20.5248316189662</v>
      </c>
      <c r="AO119" s="143">
        <v>1.39493721575986E-40</v>
      </c>
      <c r="AW119" s="127"/>
      <c r="AZ119" s="145"/>
    </row>
    <row r="120" spans="1:52" x14ac:dyDescent="0.2">
      <c r="A120" s="127">
        <v>2010</v>
      </c>
      <c r="B120" s="130">
        <v>11</v>
      </c>
      <c r="C120" s="130">
        <v>5.4099999999999984</v>
      </c>
      <c r="D120" s="131">
        <v>437.69999999999987</v>
      </c>
      <c r="E120" s="131">
        <v>0</v>
      </c>
      <c r="F120" s="131">
        <v>377.69999999999987</v>
      </c>
      <c r="G120" s="131">
        <v>0</v>
      </c>
      <c r="H120" s="131">
        <v>317.7</v>
      </c>
      <c r="I120" s="131">
        <v>0</v>
      </c>
      <c r="J120" s="131">
        <v>258.3</v>
      </c>
      <c r="K120" s="131">
        <v>0.59999999999999964</v>
      </c>
      <c r="L120" s="131">
        <v>200.30000000000004</v>
      </c>
      <c r="M120" s="131">
        <v>2.5999999999999996</v>
      </c>
      <c r="N120" s="131">
        <v>142.30000000000004</v>
      </c>
      <c r="O120" s="131">
        <v>4.5999999999999996</v>
      </c>
      <c r="P120" s="131">
        <v>87.800000000000011</v>
      </c>
      <c r="Q120" s="131">
        <v>10.1</v>
      </c>
      <c r="R120" s="145">
        <f>Purchases!D60</f>
        <v>20064653.846153848</v>
      </c>
      <c r="S120" s="128"/>
      <c r="V120" s="131"/>
      <c r="X120" s="129"/>
      <c r="Y120" s="129"/>
      <c r="Z120" s="129"/>
      <c r="AK120" s="127" t="s">
        <v>94</v>
      </c>
      <c r="AL120" s="127">
        <v>45931.059154944</v>
      </c>
      <c r="AM120" s="127">
        <v>1531.8203711323399</v>
      </c>
      <c r="AN120" s="127">
        <v>29.984624842788399</v>
      </c>
      <c r="AO120" s="143">
        <v>9.4767139015581398E-57</v>
      </c>
      <c r="AW120" s="127"/>
      <c r="AZ120" s="145"/>
    </row>
    <row r="121" spans="1:52" x14ac:dyDescent="0.2">
      <c r="A121" s="127">
        <v>2010</v>
      </c>
      <c r="B121" s="130">
        <v>12</v>
      </c>
      <c r="C121" s="130">
        <v>-3.4290322580645163</v>
      </c>
      <c r="D121" s="131">
        <v>726.3</v>
      </c>
      <c r="E121" s="131">
        <v>0</v>
      </c>
      <c r="F121" s="131">
        <v>664.29999999999984</v>
      </c>
      <c r="G121" s="131">
        <v>0</v>
      </c>
      <c r="H121" s="131">
        <v>602.29999999999995</v>
      </c>
      <c r="I121" s="131">
        <v>0</v>
      </c>
      <c r="J121" s="131">
        <v>540.29999999999995</v>
      </c>
      <c r="K121" s="131">
        <v>0</v>
      </c>
      <c r="L121" s="131">
        <v>478.29999999999995</v>
      </c>
      <c r="M121" s="131">
        <v>0</v>
      </c>
      <c r="N121" s="131">
        <v>416.3</v>
      </c>
      <c r="O121" s="131">
        <v>0</v>
      </c>
      <c r="P121" s="131">
        <v>354.3</v>
      </c>
      <c r="Q121" s="131">
        <v>0</v>
      </c>
      <c r="R121" s="145">
        <f>Purchases!D61</f>
        <v>24022230.769230772</v>
      </c>
      <c r="S121" s="128"/>
      <c r="T121" s="127" t="str">
        <f>Data!I1</f>
        <v>PurchasesCDM_LessED</v>
      </c>
      <c r="U121" s="129" t="s">
        <v>203</v>
      </c>
      <c r="V121" s="131" t="s">
        <v>112</v>
      </c>
      <c r="W121" s="129" t="s">
        <v>113</v>
      </c>
      <c r="X121" s="129" t="s">
        <v>182</v>
      </c>
      <c r="Y121" s="129"/>
      <c r="Z121" s="129"/>
      <c r="AA121" s="144"/>
      <c r="AB121" s="128"/>
      <c r="AC121" s="128"/>
      <c r="AW121" s="127"/>
      <c r="AZ121" s="145"/>
    </row>
    <row r="122" spans="1:52" x14ac:dyDescent="0.2">
      <c r="A122" s="127">
        <v>2011</v>
      </c>
      <c r="B122" s="130">
        <v>1</v>
      </c>
      <c r="C122" s="130">
        <v>-5.5774193548387094</v>
      </c>
      <c r="D122" s="141">
        <v>792.89999999999986</v>
      </c>
      <c r="E122" s="131">
        <v>0</v>
      </c>
      <c r="F122" s="131">
        <v>730.89999999999986</v>
      </c>
      <c r="G122" s="131">
        <v>0</v>
      </c>
      <c r="H122" s="131">
        <v>668.9</v>
      </c>
      <c r="I122" s="131">
        <v>0</v>
      </c>
      <c r="J122" s="131">
        <v>606.9</v>
      </c>
      <c r="K122" s="131">
        <v>0</v>
      </c>
      <c r="L122" s="131">
        <v>544.9</v>
      </c>
      <c r="M122" s="131">
        <v>0</v>
      </c>
      <c r="N122" s="131">
        <v>482.90000000000003</v>
      </c>
      <c r="O122" s="131">
        <v>0</v>
      </c>
      <c r="P122" s="131">
        <v>420.89999999999992</v>
      </c>
      <c r="Q122" s="131">
        <v>0</v>
      </c>
      <c r="R122" s="145">
        <f>Purchases!D62</f>
        <v>23397084.615384616</v>
      </c>
      <c r="S122" s="128">
        <f ca="1">Data!G2</f>
        <v>23400514.231734868</v>
      </c>
      <c r="T122" s="127">
        <f ca="1">Data!I2</f>
        <v>17899705.417934868</v>
      </c>
      <c r="U122" s="129">
        <f>$AL$166+H122*$AL$167+G122*$AL$168</f>
        <v>17645131.565689061</v>
      </c>
      <c r="V122" s="145">
        <f t="shared" ref="V122:V153" si="88">$AL$118+H122*$AL$119+I122*$AL$120</f>
        <v>23356803.492257107</v>
      </c>
      <c r="W122" s="145">
        <f t="shared" ref="W122:W153" si="89">$AL$134+F122*$AL$135+G122*$AL$136</f>
        <v>22998234.458931115</v>
      </c>
      <c r="X122" s="129">
        <f t="shared" ref="X122:X153" si="90">$AL$150+F122*$AL$151+I122*$AL$152</f>
        <v>23337255.389715448</v>
      </c>
      <c r="Y122" s="129"/>
      <c r="Z122" s="129"/>
      <c r="AA122" s="144"/>
      <c r="AB122" s="128"/>
      <c r="AC122" s="128"/>
      <c r="AK122" s="127" t="s">
        <v>114</v>
      </c>
      <c r="AL122" s="143"/>
      <c r="AW122" s="127"/>
      <c r="AZ122" s="145"/>
    </row>
    <row r="123" spans="1:52" x14ac:dyDescent="0.2">
      <c r="A123" s="127">
        <v>2011</v>
      </c>
      <c r="B123" s="130">
        <v>2</v>
      </c>
      <c r="C123" s="130">
        <v>-3.9499999999999997</v>
      </c>
      <c r="D123" s="141">
        <v>670.6</v>
      </c>
      <c r="E123" s="131">
        <v>0</v>
      </c>
      <c r="F123" s="131">
        <v>614.6</v>
      </c>
      <c r="G123" s="131">
        <v>0</v>
      </c>
      <c r="H123" s="131">
        <v>558.59999999999991</v>
      </c>
      <c r="I123" s="131">
        <v>0</v>
      </c>
      <c r="J123" s="131">
        <v>502.60000000000008</v>
      </c>
      <c r="K123" s="131">
        <v>0</v>
      </c>
      <c r="L123" s="131">
        <v>446.6</v>
      </c>
      <c r="M123" s="131">
        <v>0</v>
      </c>
      <c r="N123" s="131">
        <v>390.6</v>
      </c>
      <c r="O123" s="131">
        <v>0</v>
      </c>
      <c r="P123" s="131">
        <v>334.60000000000008</v>
      </c>
      <c r="Q123" s="131">
        <v>0</v>
      </c>
      <c r="R123" s="145">
        <f>Purchases!D63</f>
        <v>20570361.53846154</v>
      </c>
      <c r="S123" s="128">
        <f ca="1">Data!G3</f>
        <v>20577220.771162044</v>
      </c>
      <c r="T123" s="127">
        <f ca="1">Data!I3</f>
        <v>14892651.470162045</v>
      </c>
      <c r="U123" s="129">
        <f t="shared" ref="U123:U186" si="91">$AL$166+H123*$AL$167+G123*$AL$168</f>
        <v>16653158.388144538</v>
      </c>
      <c r="V123" s="145">
        <f t="shared" si="88"/>
        <v>22057779.207632087</v>
      </c>
      <c r="W123" s="145">
        <f t="shared" si="89"/>
        <v>21873728.477330096</v>
      </c>
      <c r="X123" s="129">
        <f t="shared" si="90"/>
        <v>21996577.317881905</v>
      </c>
      <c r="Y123" s="129"/>
      <c r="Z123" s="129"/>
      <c r="AA123" s="144"/>
      <c r="AB123" s="128"/>
      <c r="AC123" s="128"/>
      <c r="AJ123" s="145"/>
      <c r="AK123" s="127" t="s">
        <v>115</v>
      </c>
      <c r="AL123" s="127">
        <v>21107669.826609399</v>
      </c>
      <c r="AM123" s="127" t="s">
        <v>116</v>
      </c>
      <c r="AN123" s="127">
        <v>2669499.31533268</v>
      </c>
      <c r="AW123" s="127"/>
      <c r="AZ123" s="145"/>
    </row>
    <row r="124" spans="1:52" x14ac:dyDescent="0.2">
      <c r="A124" s="127">
        <v>2011</v>
      </c>
      <c r="B124" s="130">
        <v>3</v>
      </c>
      <c r="C124" s="130">
        <v>1.2225806451612906</v>
      </c>
      <c r="D124" s="141">
        <v>582.1</v>
      </c>
      <c r="E124" s="131">
        <v>0</v>
      </c>
      <c r="F124" s="131">
        <v>520.09999999999991</v>
      </c>
      <c r="G124" s="131">
        <v>0</v>
      </c>
      <c r="H124" s="131">
        <v>458.09999999999991</v>
      </c>
      <c r="I124" s="131">
        <v>0</v>
      </c>
      <c r="J124" s="131">
        <v>396.09999999999997</v>
      </c>
      <c r="K124" s="131">
        <v>0</v>
      </c>
      <c r="L124" s="131">
        <v>334.09999999999997</v>
      </c>
      <c r="M124" s="131">
        <v>0</v>
      </c>
      <c r="N124" s="131">
        <v>274.30000000000007</v>
      </c>
      <c r="O124" s="131">
        <v>2.2000000000000011</v>
      </c>
      <c r="P124" s="131">
        <v>216.70000000000002</v>
      </c>
      <c r="Q124" s="131">
        <v>6.6000000000000014</v>
      </c>
      <c r="R124" s="145">
        <f>Purchases!D64</f>
        <v>21011815.384615388</v>
      </c>
      <c r="S124" s="128">
        <f ca="1">Data!G4</f>
        <v>21022104.233666141</v>
      </c>
      <c r="T124" s="127">
        <f ca="1">Data!I4</f>
        <v>16114983.430466142</v>
      </c>
      <c r="U124" s="129">
        <f t="shared" si="91"/>
        <v>15749320.63344622</v>
      </c>
      <c r="V124" s="145">
        <f t="shared" si="88"/>
        <v>20874171.405231234</v>
      </c>
      <c r="W124" s="145">
        <f t="shared" si="89"/>
        <v>20960006.93596039</v>
      </c>
      <c r="X124" s="129">
        <f t="shared" si="90"/>
        <v>20907204.336039513</v>
      </c>
      <c r="Y124" s="129"/>
      <c r="Z124" s="129"/>
      <c r="AA124" s="144"/>
      <c r="AB124" s="128"/>
      <c r="AC124" s="128"/>
      <c r="AJ124" s="145"/>
      <c r="AK124" s="127" t="s">
        <v>117</v>
      </c>
      <c r="AL124" s="127">
        <v>78486993951328</v>
      </c>
      <c r="AM124" s="127" t="s">
        <v>118</v>
      </c>
      <c r="AN124" s="127">
        <v>819041.51795315498</v>
      </c>
      <c r="AW124" s="127"/>
      <c r="AZ124" s="145"/>
    </row>
    <row r="125" spans="1:52" x14ac:dyDescent="0.2">
      <c r="A125" s="127">
        <v>2011</v>
      </c>
      <c r="B125" s="130">
        <v>4</v>
      </c>
      <c r="C125" s="130">
        <v>8.2066666666666652</v>
      </c>
      <c r="D125" s="141">
        <v>353.79999999999995</v>
      </c>
      <c r="E125" s="131">
        <v>0</v>
      </c>
      <c r="F125" s="131">
        <v>293.8</v>
      </c>
      <c r="G125" s="131">
        <v>0</v>
      </c>
      <c r="H125" s="131">
        <v>235.50000000000003</v>
      </c>
      <c r="I125" s="131">
        <v>1.6999999999999993</v>
      </c>
      <c r="J125" s="131">
        <v>182.40000000000003</v>
      </c>
      <c r="K125" s="131">
        <v>8.6</v>
      </c>
      <c r="L125" s="131">
        <v>132.4</v>
      </c>
      <c r="M125" s="131">
        <v>18.600000000000001</v>
      </c>
      <c r="N125" s="131">
        <v>86</v>
      </c>
      <c r="O125" s="131">
        <v>32.199999999999996</v>
      </c>
      <c r="P125" s="131">
        <v>48.599999999999994</v>
      </c>
      <c r="Q125" s="131">
        <v>54.8</v>
      </c>
      <c r="R125" s="145">
        <f>Purchases!D65</f>
        <v>18252353.846153848</v>
      </c>
      <c r="S125" s="128">
        <f ca="1">Data!G5</f>
        <v>18266072.311554853</v>
      </c>
      <c r="T125" s="127">
        <f ca="1">Data!I5</f>
        <v>13533086.663454853</v>
      </c>
      <c r="U125" s="129">
        <f t="shared" si="91"/>
        <v>13747387.457368154</v>
      </c>
      <c r="V125" s="145">
        <f t="shared" si="88"/>
        <v>18330651.252417225</v>
      </c>
      <c r="W125" s="145">
        <f t="shared" si="89"/>
        <v>18771909.742182996</v>
      </c>
      <c r="X125" s="129">
        <f t="shared" si="90"/>
        <v>18381040.214370448</v>
      </c>
      <c r="Y125" s="129"/>
      <c r="Z125" s="129"/>
      <c r="AA125" s="144"/>
      <c r="AB125" s="128"/>
      <c r="AC125" s="128"/>
      <c r="AJ125" s="145"/>
      <c r="AK125" s="127" t="s">
        <v>119</v>
      </c>
      <c r="AL125" s="127">
        <v>0.90775081505263899</v>
      </c>
      <c r="AM125" s="127" t="s">
        <v>120</v>
      </c>
      <c r="AN125" s="127">
        <v>0.90617390590823899</v>
      </c>
      <c r="AW125" s="127"/>
      <c r="AZ125" s="145"/>
    </row>
    <row r="126" spans="1:52" x14ac:dyDescent="0.2">
      <c r="A126" s="127">
        <v>2011</v>
      </c>
      <c r="B126" s="130">
        <v>5</v>
      </c>
      <c r="C126" s="130">
        <v>15.45483870967742</v>
      </c>
      <c r="D126" s="141">
        <v>159.70000000000002</v>
      </c>
      <c r="E126" s="131">
        <v>18.8</v>
      </c>
      <c r="F126" s="131">
        <v>112.29999999999998</v>
      </c>
      <c r="G126" s="131">
        <v>33.4</v>
      </c>
      <c r="H126" s="131">
        <v>70.399999999999991</v>
      </c>
      <c r="I126" s="131">
        <v>53.499999999999993</v>
      </c>
      <c r="J126" s="131">
        <v>37.199999999999996</v>
      </c>
      <c r="K126" s="131">
        <v>82.300000000000011</v>
      </c>
      <c r="L126" s="131">
        <v>19.200000000000003</v>
      </c>
      <c r="M126" s="131">
        <v>126.30000000000001</v>
      </c>
      <c r="N126" s="131">
        <v>7.9999999999999982</v>
      </c>
      <c r="O126" s="131">
        <v>177.10000000000002</v>
      </c>
      <c r="P126" s="131">
        <v>2.0999999999999996</v>
      </c>
      <c r="Q126" s="131">
        <v>233.19999999999996</v>
      </c>
      <c r="R126" s="145">
        <f>Purchases!D66</f>
        <v>18454400</v>
      </c>
      <c r="S126" s="128">
        <f ca="1">Data!G6</f>
        <v>18471548.081751257</v>
      </c>
      <c r="T126" s="127">
        <f ca="1">Data!I6</f>
        <v>14425300.005551258</v>
      </c>
      <c r="U126" s="129">
        <f t="shared" si="91"/>
        <v>14064421.941748424</v>
      </c>
      <c r="V126" s="145">
        <f t="shared" si="88"/>
        <v>18765465.706928089</v>
      </c>
      <c r="W126" s="145">
        <f t="shared" si="89"/>
        <v>19046499.929598443</v>
      </c>
      <c r="X126" s="129">
        <f t="shared" si="90"/>
        <v>18804622.252593979</v>
      </c>
      <c r="Y126" s="129"/>
      <c r="Z126" s="129"/>
      <c r="AA126" s="144"/>
      <c r="AB126" s="128"/>
      <c r="AC126" s="128"/>
      <c r="AJ126" s="145"/>
      <c r="AK126" s="127" t="s">
        <v>121</v>
      </c>
      <c r="AL126" s="127">
        <v>501.60826824292798</v>
      </c>
      <c r="AM126" s="127" t="s">
        <v>122</v>
      </c>
      <c r="AN126" s="143">
        <v>4.0244553982630197E-58</v>
      </c>
      <c r="AW126" s="127"/>
      <c r="AZ126" s="145"/>
    </row>
    <row r="127" spans="1:52" x14ac:dyDescent="0.2">
      <c r="A127" s="127">
        <v>2011</v>
      </c>
      <c r="B127" s="130">
        <v>6</v>
      </c>
      <c r="C127" s="130">
        <v>21.15666666666667</v>
      </c>
      <c r="D127" s="141">
        <v>24.399999999999995</v>
      </c>
      <c r="E127" s="131">
        <v>59.100000000000009</v>
      </c>
      <c r="F127" s="131">
        <v>10.099999999999994</v>
      </c>
      <c r="G127" s="131">
        <v>104.80000000000001</v>
      </c>
      <c r="H127" s="131">
        <v>1</v>
      </c>
      <c r="I127" s="131">
        <v>155.69999999999999</v>
      </c>
      <c r="J127" s="131">
        <v>0</v>
      </c>
      <c r="K127" s="131">
        <v>214.70000000000002</v>
      </c>
      <c r="L127" s="131">
        <v>0</v>
      </c>
      <c r="M127" s="131">
        <v>274.7</v>
      </c>
      <c r="N127" s="131">
        <v>0</v>
      </c>
      <c r="O127" s="131">
        <v>334.7</v>
      </c>
      <c r="P127" s="131">
        <v>0</v>
      </c>
      <c r="Q127" s="131">
        <v>394.7</v>
      </c>
      <c r="R127" s="145">
        <f>Purchases!D67</f>
        <v>21528092.307692308</v>
      </c>
      <c r="S127" s="128">
        <f ca="1">Data!G7</f>
        <v>21548670.005793817</v>
      </c>
      <c r="T127" s="127">
        <f ca="1">Data!I7</f>
        <v>17663444.23039382</v>
      </c>
      <c r="U127" s="129">
        <f t="shared" si="91"/>
        <v>17292130.875330932</v>
      </c>
      <c r="V127" s="145">
        <f t="shared" si="88"/>
        <v>22642282.82334327</v>
      </c>
      <c r="W127" s="145">
        <f t="shared" si="89"/>
        <v>22396872.51499201</v>
      </c>
      <c r="X127" s="129">
        <f t="shared" si="90"/>
        <v>22590228.721939608</v>
      </c>
      <c r="Y127" s="129"/>
      <c r="Z127" s="129"/>
      <c r="AA127" s="144"/>
      <c r="AB127" s="128"/>
      <c r="AC127" s="128"/>
      <c r="AJ127" s="145"/>
      <c r="AK127" s="143" t="s">
        <v>123</v>
      </c>
      <c r="AL127" s="127">
        <v>-1.1170854816229599E-3</v>
      </c>
      <c r="AM127" s="127" t="s">
        <v>124</v>
      </c>
      <c r="AN127" s="127">
        <v>2.0001914754091699</v>
      </c>
      <c r="AW127" s="127"/>
      <c r="AZ127" s="145"/>
    </row>
    <row r="128" spans="1:52" x14ac:dyDescent="0.2">
      <c r="A128" s="127">
        <v>2011</v>
      </c>
      <c r="B128" s="130">
        <v>7</v>
      </c>
      <c r="C128" s="130">
        <v>25.816129032258072</v>
      </c>
      <c r="D128" s="141">
        <v>0</v>
      </c>
      <c r="E128" s="131">
        <v>180.29999999999995</v>
      </c>
      <c r="F128" s="131">
        <v>0</v>
      </c>
      <c r="G128" s="131">
        <v>242.29999999999998</v>
      </c>
      <c r="H128" s="131">
        <v>0</v>
      </c>
      <c r="I128" s="131">
        <v>304.29999999999995</v>
      </c>
      <c r="J128" s="131">
        <v>0</v>
      </c>
      <c r="K128" s="131">
        <v>366.29999999999995</v>
      </c>
      <c r="L128" s="131">
        <v>0</v>
      </c>
      <c r="M128" s="131">
        <v>428.29999999999995</v>
      </c>
      <c r="N128" s="131">
        <v>0</v>
      </c>
      <c r="O128" s="131">
        <v>490.3</v>
      </c>
      <c r="P128" s="131">
        <v>0</v>
      </c>
      <c r="Q128" s="131">
        <v>552.30000000000007</v>
      </c>
      <c r="R128" s="145">
        <f>Purchases!D68</f>
        <v>28389523.076923076</v>
      </c>
      <c r="S128" s="128">
        <f ca="1">Data!G8</f>
        <v>28413530.391374838</v>
      </c>
      <c r="T128" s="127">
        <f ca="1">Data!I8</f>
        <v>23996183.771274839</v>
      </c>
      <c r="U128" s="129">
        <f t="shared" si="91"/>
        <v>24700918.949590802</v>
      </c>
      <c r="V128" s="145">
        <f t="shared" si="88"/>
        <v>29455861.021704257</v>
      </c>
      <c r="W128" s="145">
        <f t="shared" si="89"/>
        <v>30654257.630402923</v>
      </c>
      <c r="X128" s="129">
        <f t="shared" si="90"/>
        <v>29691139.24215252</v>
      </c>
      <c r="Y128" s="129"/>
      <c r="Z128" s="129"/>
      <c r="AA128" s="144"/>
      <c r="AB128" s="128"/>
      <c r="AC128" s="128"/>
      <c r="AJ128" s="145"/>
      <c r="AW128" s="127"/>
      <c r="AZ128" s="145"/>
    </row>
    <row r="129" spans="1:52" x14ac:dyDescent="0.2">
      <c r="A129" s="127">
        <v>2011</v>
      </c>
      <c r="B129" s="130">
        <v>8</v>
      </c>
      <c r="C129" s="130">
        <v>22.658064516129031</v>
      </c>
      <c r="D129" s="141">
        <v>0.90000000000000213</v>
      </c>
      <c r="E129" s="131">
        <v>83.300000000000011</v>
      </c>
      <c r="F129" s="131">
        <v>0</v>
      </c>
      <c r="G129" s="131">
        <v>144.4</v>
      </c>
      <c r="H129" s="131">
        <v>0</v>
      </c>
      <c r="I129" s="131">
        <v>206.4</v>
      </c>
      <c r="J129" s="131">
        <v>0</v>
      </c>
      <c r="K129" s="131">
        <v>268.40000000000009</v>
      </c>
      <c r="L129" s="131">
        <v>0</v>
      </c>
      <c r="M129" s="131">
        <v>330.40000000000003</v>
      </c>
      <c r="N129" s="131">
        <v>0</v>
      </c>
      <c r="O129" s="131">
        <v>392.40000000000003</v>
      </c>
      <c r="P129" s="131">
        <v>0</v>
      </c>
      <c r="Q129" s="131">
        <v>454.4</v>
      </c>
      <c r="R129" s="145">
        <f>Purchases!D69</f>
        <v>24810530.769230768</v>
      </c>
      <c r="S129" s="128">
        <f ca="1">Data!G9</f>
        <v>24837967.700032778</v>
      </c>
      <c r="T129" s="127">
        <f ca="1">Data!I9</f>
        <v>18542053.118232779</v>
      </c>
      <c r="U129" s="129">
        <f t="shared" si="91"/>
        <v>19419458.532445684</v>
      </c>
      <c r="V129" s="145">
        <f t="shared" si="88"/>
        <v>24959210.330435243</v>
      </c>
      <c r="W129" s="145">
        <f t="shared" si="89"/>
        <v>24705467.636184871</v>
      </c>
      <c r="X129" s="129">
        <f t="shared" si="90"/>
        <v>24936242.403653391</v>
      </c>
      <c r="Y129" s="129"/>
      <c r="Z129" s="129"/>
      <c r="AA129" s="144"/>
      <c r="AB129" s="128"/>
      <c r="AC129" s="128"/>
      <c r="AK129" s="127" t="s">
        <v>180</v>
      </c>
      <c r="AW129" s="127"/>
      <c r="AZ129" s="145"/>
    </row>
    <row r="130" spans="1:52" x14ac:dyDescent="0.2">
      <c r="A130" s="127">
        <v>2011</v>
      </c>
      <c r="B130" s="130">
        <v>9</v>
      </c>
      <c r="C130" s="130">
        <v>17.613333333333337</v>
      </c>
      <c r="D130" s="141">
        <v>100.2</v>
      </c>
      <c r="E130" s="131">
        <v>28.6</v>
      </c>
      <c r="F130" s="131">
        <v>59.3</v>
      </c>
      <c r="G130" s="131">
        <v>47.7</v>
      </c>
      <c r="H130" s="131">
        <v>28.200000000000003</v>
      </c>
      <c r="I130" s="131">
        <v>76.599999999999994</v>
      </c>
      <c r="J130" s="131">
        <v>9.6</v>
      </c>
      <c r="K130" s="131">
        <v>117.99999999999996</v>
      </c>
      <c r="L130" s="131">
        <v>3.1999999999999993</v>
      </c>
      <c r="M130" s="131">
        <v>171.59999999999997</v>
      </c>
      <c r="N130" s="131">
        <v>0.40000000000000036</v>
      </c>
      <c r="O130" s="131">
        <v>228.79999999999998</v>
      </c>
      <c r="P130" s="131">
        <v>0</v>
      </c>
      <c r="Q130" s="131">
        <v>288.40000000000003</v>
      </c>
      <c r="R130" s="145">
        <f>Purchases!D70</f>
        <v>19628307.692307692</v>
      </c>
      <c r="S130" s="128">
        <f ca="1">Data!G10</f>
        <v>19659174.239459954</v>
      </c>
      <c r="T130" s="127">
        <f ca="1">Data!I10</f>
        <v>14359182.147059955</v>
      </c>
      <c r="U130" s="129">
        <f t="shared" si="91"/>
        <v>14456349.29329453</v>
      </c>
      <c r="V130" s="145">
        <f t="shared" si="88"/>
        <v>19329475.668319572</v>
      </c>
      <c r="W130" s="145">
        <f t="shared" si="89"/>
        <v>19402966.726727743</v>
      </c>
      <c r="X130" s="129">
        <f t="shared" si="90"/>
        <v>19315593.11290561</v>
      </c>
      <c r="Y130" s="129"/>
      <c r="Z130" s="129"/>
      <c r="AA130" s="144"/>
      <c r="AB130" s="128"/>
      <c r="AC130" s="128"/>
      <c r="AK130" s="127" t="s">
        <v>176</v>
      </c>
      <c r="AW130" s="127"/>
      <c r="AZ130" s="145"/>
    </row>
    <row r="131" spans="1:52" x14ac:dyDescent="0.2">
      <c r="A131" s="127">
        <v>2011</v>
      </c>
      <c r="B131" s="130">
        <v>10</v>
      </c>
      <c r="C131" s="130">
        <v>12.03548387096774</v>
      </c>
      <c r="D131" s="141">
        <v>246.9</v>
      </c>
      <c r="E131" s="131">
        <v>0</v>
      </c>
      <c r="F131" s="131">
        <v>189.50000000000003</v>
      </c>
      <c r="G131" s="131">
        <v>4.6000000000000014</v>
      </c>
      <c r="H131" s="131">
        <v>138.80000000000001</v>
      </c>
      <c r="I131" s="131">
        <v>15.899999999999999</v>
      </c>
      <c r="J131" s="131">
        <v>96.2</v>
      </c>
      <c r="K131" s="131">
        <v>35.299999999999997</v>
      </c>
      <c r="L131" s="131">
        <v>55.399999999999991</v>
      </c>
      <c r="M131" s="131">
        <v>56.500000000000014</v>
      </c>
      <c r="N131" s="131">
        <v>27.2</v>
      </c>
      <c r="O131" s="131">
        <v>90.300000000000011</v>
      </c>
      <c r="P131" s="131">
        <v>10.8</v>
      </c>
      <c r="Q131" s="131">
        <v>135.9</v>
      </c>
      <c r="R131" s="145">
        <f>Purchases!D71</f>
        <v>18511823.076923076</v>
      </c>
      <c r="S131" s="128">
        <f ca="1">Data!G11</f>
        <v>18546119.24042559</v>
      </c>
      <c r="T131" s="127">
        <f ca="1">Data!I11</f>
        <v>14405909.995625591</v>
      </c>
      <c r="U131" s="129">
        <f t="shared" si="91"/>
        <v>13125883.170402577</v>
      </c>
      <c r="V131" s="145">
        <f t="shared" si="88"/>
        <v>17844017.819858596</v>
      </c>
      <c r="W131" s="145">
        <f t="shared" si="89"/>
        <v>18042946.029422086</v>
      </c>
      <c r="X131" s="129">
        <f t="shared" si="90"/>
        <v>17868373.821298886</v>
      </c>
      <c r="Y131" s="129"/>
      <c r="Z131" s="129"/>
      <c r="AA131" s="144"/>
      <c r="AB131" s="128"/>
      <c r="AC131" s="128"/>
      <c r="AK131" s="127" t="s">
        <v>181</v>
      </c>
      <c r="AW131" s="127"/>
      <c r="AZ131" s="145"/>
    </row>
    <row r="132" spans="1:52" x14ac:dyDescent="0.2">
      <c r="A132" s="127">
        <v>2011</v>
      </c>
      <c r="B132" s="130">
        <v>11</v>
      </c>
      <c r="C132" s="130">
        <v>7.5300000000000011</v>
      </c>
      <c r="D132" s="141">
        <v>374.09999999999985</v>
      </c>
      <c r="E132" s="131">
        <v>0</v>
      </c>
      <c r="F132" s="131">
        <v>314.09999999999991</v>
      </c>
      <c r="G132" s="131">
        <v>0</v>
      </c>
      <c r="H132" s="131">
        <v>254.1</v>
      </c>
      <c r="I132" s="131">
        <v>0</v>
      </c>
      <c r="J132" s="131">
        <v>195.6</v>
      </c>
      <c r="K132" s="131">
        <v>1.5</v>
      </c>
      <c r="L132" s="131">
        <v>141.80000000000001</v>
      </c>
      <c r="M132" s="131">
        <v>7.6999999999999993</v>
      </c>
      <c r="N132" s="131">
        <v>94.500000000000043</v>
      </c>
      <c r="O132" s="131">
        <v>20.399999999999999</v>
      </c>
      <c r="P132" s="131">
        <v>55.699999999999996</v>
      </c>
      <c r="Q132" s="131">
        <v>41.599999999999994</v>
      </c>
      <c r="R132" s="145">
        <f>Purchases!D72</f>
        <v>18941946.153846152</v>
      </c>
      <c r="S132" s="128">
        <f ca="1">Data!G12</f>
        <v>18979671.933698919</v>
      </c>
      <c r="T132" s="127">
        <f ca="1">Data!I12</f>
        <v>15038050.17209892</v>
      </c>
      <c r="U132" s="129">
        <f t="shared" si="91"/>
        <v>13914664.892566051</v>
      </c>
      <c r="V132" s="145">
        <f t="shared" si="88"/>
        <v>18471624.224238455</v>
      </c>
      <c r="W132" s="145">
        <f t="shared" si="89"/>
        <v>18968190.665884636</v>
      </c>
      <c r="X132" s="129">
        <f t="shared" si="90"/>
        <v>18532486.513187319</v>
      </c>
      <c r="Y132" s="129"/>
      <c r="Z132" s="129"/>
      <c r="AA132" s="144"/>
      <c r="AB132" s="128"/>
      <c r="AC132" s="128"/>
      <c r="AW132" s="127"/>
      <c r="AZ132" s="145"/>
    </row>
    <row r="133" spans="1:52" x14ac:dyDescent="0.2">
      <c r="A133" s="127">
        <v>2011</v>
      </c>
      <c r="B133" s="130">
        <v>12</v>
      </c>
      <c r="C133" s="130">
        <v>2.0129032258064514</v>
      </c>
      <c r="D133" s="141">
        <v>557.60000000000014</v>
      </c>
      <c r="E133" s="131">
        <v>0</v>
      </c>
      <c r="F133" s="131">
        <v>495.60000000000014</v>
      </c>
      <c r="G133" s="131">
        <v>0</v>
      </c>
      <c r="H133" s="131">
        <v>433.60000000000008</v>
      </c>
      <c r="I133" s="131">
        <v>0</v>
      </c>
      <c r="J133" s="131">
        <v>371.60000000000008</v>
      </c>
      <c r="K133" s="131">
        <v>0</v>
      </c>
      <c r="L133" s="131">
        <v>309.60000000000002</v>
      </c>
      <c r="M133" s="131">
        <v>0</v>
      </c>
      <c r="N133" s="131">
        <v>247.6</v>
      </c>
      <c r="O133" s="131">
        <v>0</v>
      </c>
      <c r="P133" s="131">
        <v>185.79999999999998</v>
      </c>
      <c r="Q133" s="131">
        <v>0.19999999999999929</v>
      </c>
      <c r="R133" s="145">
        <f>Purchases!D73</f>
        <v>21539476.923076924</v>
      </c>
      <c r="S133" s="128">
        <f ca="1">Data!G13</f>
        <v>21580632.319279939</v>
      </c>
      <c r="T133" s="127">
        <f ca="1">Data!I13</f>
        <v>17420285.990279939</v>
      </c>
      <c r="U133" s="129">
        <f t="shared" si="91"/>
        <v>15528982.07633071</v>
      </c>
      <c r="V133" s="145">
        <f t="shared" si="88"/>
        <v>20585630.199670829</v>
      </c>
      <c r="W133" s="145">
        <f t="shared" si="89"/>
        <v>20723116.165975656</v>
      </c>
      <c r="X133" s="129">
        <f t="shared" si="90"/>
        <v>20624774.303710006</v>
      </c>
      <c r="Y133" s="129"/>
      <c r="Z133" s="129"/>
      <c r="AA133" s="144"/>
      <c r="AB133" s="128"/>
      <c r="AC133" s="128"/>
      <c r="AL133" s="127" t="s">
        <v>107</v>
      </c>
      <c r="AM133" s="127" t="s">
        <v>108</v>
      </c>
      <c r="AN133" s="127" t="s">
        <v>109</v>
      </c>
      <c r="AO133" s="127" t="s">
        <v>110</v>
      </c>
      <c r="AW133" s="127"/>
      <c r="AZ133" s="145"/>
    </row>
    <row r="134" spans="1:52" x14ac:dyDescent="0.2">
      <c r="A134" s="127">
        <v>2012</v>
      </c>
      <c r="B134" s="130">
        <v>1</v>
      </c>
      <c r="C134" s="130">
        <v>-0.92903225806451584</v>
      </c>
      <c r="D134" s="141">
        <v>648.79999999999995</v>
      </c>
      <c r="E134" s="131">
        <v>0</v>
      </c>
      <c r="F134" s="131">
        <v>586.79999999999995</v>
      </c>
      <c r="G134" s="131">
        <v>0</v>
      </c>
      <c r="H134" s="131">
        <v>524.80000000000007</v>
      </c>
      <c r="I134" s="131">
        <v>0</v>
      </c>
      <c r="J134" s="131">
        <v>462.8</v>
      </c>
      <c r="K134" s="131">
        <v>0</v>
      </c>
      <c r="L134" s="131">
        <v>400.79999999999995</v>
      </c>
      <c r="M134" s="131">
        <v>0</v>
      </c>
      <c r="N134" s="131">
        <v>338.8</v>
      </c>
      <c r="O134" s="131">
        <v>0</v>
      </c>
      <c r="P134" s="131">
        <v>276.79999999999995</v>
      </c>
      <c r="Q134" s="131">
        <v>0</v>
      </c>
      <c r="R134" s="145">
        <f>Purchases!D74</f>
        <v>22039669.230769232</v>
      </c>
      <c r="S134" s="128">
        <f ca="1">Data!G14</f>
        <v>22091899.644860648</v>
      </c>
      <c r="T134" s="127">
        <f ca="1">Data!I14</f>
        <v>17058374.052460648</v>
      </c>
      <c r="U134" s="129">
        <f t="shared" si="91"/>
        <v>16349181.113430079</v>
      </c>
      <c r="V134" s="145">
        <f t="shared" si="88"/>
        <v>21659710.115879364</v>
      </c>
      <c r="W134" s="145">
        <f t="shared" si="89"/>
        <v>21604929.970980067</v>
      </c>
      <c r="X134" s="129">
        <f t="shared" si="90"/>
        <v>21676105.689361073</v>
      </c>
      <c r="Y134" s="129"/>
      <c r="Z134" s="129"/>
      <c r="AA134" s="144"/>
      <c r="AB134" s="128"/>
      <c r="AC134" s="128"/>
      <c r="AK134" s="127" t="s">
        <v>111</v>
      </c>
      <c r="AL134" s="127">
        <v>15931154.304570099</v>
      </c>
      <c r="AM134" s="127">
        <v>262088.814007504</v>
      </c>
      <c r="AN134" s="127">
        <v>60.785327160563</v>
      </c>
      <c r="AO134" s="143">
        <v>2.3225317092316302E-90</v>
      </c>
      <c r="AW134" s="127"/>
      <c r="AZ134" s="145"/>
    </row>
    <row r="135" spans="1:52" x14ac:dyDescent="0.2">
      <c r="A135" s="127">
        <v>2012</v>
      </c>
      <c r="B135" s="130">
        <v>2</v>
      </c>
      <c r="C135" s="130">
        <v>0.51379310344827578</v>
      </c>
      <c r="D135" s="141">
        <v>565.09999999999991</v>
      </c>
      <c r="E135" s="131">
        <v>0</v>
      </c>
      <c r="F135" s="131">
        <v>507.1</v>
      </c>
      <c r="G135" s="131">
        <v>0</v>
      </c>
      <c r="H135" s="131">
        <v>449.1</v>
      </c>
      <c r="I135" s="131">
        <v>0</v>
      </c>
      <c r="J135" s="131">
        <v>391.10000000000008</v>
      </c>
      <c r="K135" s="131">
        <v>0</v>
      </c>
      <c r="L135" s="131">
        <v>333.1</v>
      </c>
      <c r="M135" s="131">
        <v>0</v>
      </c>
      <c r="N135" s="131">
        <v>275.09999999999997</v>
      </c>
      <c r="O135" s="131">
        <v>0</v>
      </c>
      <c r="P135" s="131">
        <v>217.1</v>
      </c>
      <c r="Q135" s="131">
        <v>0</v>
      </c>
      <c r="R135" s="145">
        <f>Purchases!D75</f>
        <v>19611361.53846154</v>
      </c>
      <c r="S135" s="128">
        <f ca="1">Data!G15</f>
        <v>19671237.3540911</v>
      </c>
      <c r="T135" s="127">
        <f ca="1">Data!I15</f>
        <v>14507586.8190911</v>
      </c>
      <c r="U135" s="129">
        <f t="shared" si="91"/>
        <v>15668379.938995626</v>
      </c>
      <c r="V135" s="145">
        <f t="shared" si="88"/>
        <v>20768176.676658023</v>
      </c>
      <c r="W135" s="145">
        <f t="shared" si="89"/>
        <v>20834309.792703185</v>
      </c>
      <c r="X135" s="129">
        <f t="shared" si="90"/>
        <v>20757343.502558552</v>
      </c>
      <c r="Y135" s="144"/>
      <c r="Z135" s="129"/>
      <c r="AA135" s="144"/>
      <c r="AB135" s="128"/>
      <c r="AC135" s="128"/>
      <c r="AK135" s="127" t="s">
        <v>91</v>
      </c>
      <c r="AL135" s="127">
        <v>9669.0110197852191</v>
      </c>
      <c r="AM135" s="127">
        <v>567.40338620861803</v>
      </c>
      <c r="AN135" s="127">
        <v>17.0408059853034</v>
      </c>
      <c r="AO135" s="143">
        <v>1.74702845020454E-33</v>
      </c>
      <c r="AW135" s="127"/>
      <c r="AZ135" s="145"/>
    </row>
    <row r="136" spans="1:52" x14ac:dyDescent="0.2">
      <c r="A136" s="127">
        <v>2012</v>
      </c>
      <c r="B136" s="130">
        <v>3</v>
      </c>
      <c r="C136" s="130">
        <v>9.5516129032258075</v>
      </c>
      <c r="D136" s="141">
        <v>323.90000000000003</v>
      </c>
      <c r="E136" s="131">
        <v>0</v>
      </c>
      <c r="F136" s="131">
        <v>267.8</v>
      </c>
      <c r="G136" s="131">
        <v>5.8999999999999986</v>
      </c>
      <c r="H136" s="131">
        <v>215.6</v>
      </c>
      <c r="I136" s="131">
        <v>15.7</v>
      </c>
      <c r="J136" s="131">
        <v>171.39999999999998</v>
      </c>
      <c r="K136" s="131">
        <v>33.5</v>
      </c>
      <c r="L136" s="131">
        <v>133</v>
      </c>
      <c r="M136" s="131">
        <v>57.099999999999994</v>
      </c>
      <c r="N136" s="131">
        <v>101.89999999999999</v>
      </c>
      <c r="O136" s="131">
        <v>87.999999999999986</v>
      </c>
      <c r="P136" s="131">
        <v>73.3</v>
      </c>
      <c r="Q136" s="131">
        <v>121.39999999999999</v>
      </c>
      <c r="R136" s="145">
        <f>Purchases!D76</f>
        <v>18499069.230769232</v>
      </c>
      <c r="S136" s="128">
        <f ca="1">Data!G16</f>
        <v>18566590.447936941</v>
      </c>
      <c r="T136" s="127">
        <f ca="1">Data!I16</f>
        <v>14042226.449336942</v>
      </c>
      <c r="U136" s="129">
        <f t="shared" si="91"/>
        <v>13886708.84860049</v>
      </c>
      <c r="V136" s="145">
        <f t="shared" si="88"/>
        <v>18739319.958519008</v>
      </c>
      <c r="W136" s="145">
        <f t="shared" si="89"/>
        <v>18879022.717832897</v>
      </c>
      <c r="X136" s="129">
        <f t="shared" si="90"/>
        <v>18761283.365988579</v>
      </c>
      <c r="Y136" s="144"/>
      <c r="Z136" s="129"/>
      <c r="AA136" s="144"/>
      <c r="AB136" s="128"/>
      <c r="AC136" s="128"/>
      <c r="AK136" s="127" t="s">
        <v>92</v>
      </c>
      <c r="AL136" s="127">
        <v>60763.942739714497</v>
      </c>
      <c r="AM136" s="127">
        <v>2204.85015974834</v>
      </c>
      <c r="AN136" s="127">
        <v>27.559216426140299</v>
      </c>
      <c r="AO136" s="143">
        <v>5.4331817619399798E-53</v>
      </c>
      <c r="AW136" s="127"/>
      <c r="AZ136" s="145"/>
    </row>
    <row r="137" spans="1:52" x14ac:dyDescent="0.2">
      <c r="A137" s="127">
        <v>2012</v>
      </c>
      <c r="B137" s="130">
        <v>4</v>
      </c>
      <c r="C137" s="130">
        <v>9.2199999999999989</v>
      </c>
      <c r="D137" s="141">
        <v>323.39999999999998</v>
      </c>
      <c r="E137" s="131">
        <v>0</v>
      </c>
      <c r="F137" s="131">
        <v>264.29999999999995</v>
      </c>
      <c r="G137" s="131">
        <v>0.89999999999999858</v>
      </c>
      <c r="H137" s="131">
        <v>206.29999999999998</v>
      </c>
      <c r="I137" s="131">
        <v>2.8999999999999986</v>
      </c>
      <c r="J137" s="131">
        <v>151.60000000000002</v>
      </c>
      <c r="K137" s="131">
        <v>8.1999999999999993</v>
      </c>
      <c r="L137" s="131">
        <v>99.6</v>
      </c>
      <c r="M137" s="131">
        <v>16.2</v>
      </c>
      <c r="N137" s="131">
        <v>52.400000000000006</v>
      </c>
      <c r="O137" s="131">
        <v>28.999999999999996</v>
      </c>
      <c r="P137" s="131">
        <v>20.799999999999997</v>
      </c>
      <c r="Q137" s="131">
        <v>57.399999999999991</v>
      </c>
      <c r="R137" s="145">
        <f>Purchases!D77</f>
        <v>19946663.636363637</v>
      </c>
      <c r="S137" s="128">
        <f ca="1">Data!G17</f>
        <v>20021830.255069491</v>
      </c>
      <c r="T137" s="127">
        <f ca="1">Data!I17</f>
        <v>16001029.567469491</v>
      </c>
      <c r="U137" s="129">
        <f t="shared" si="91"/>
        <v>13533332.622465018</v>
      </c>
      <c r="V137" s="145">
        <f t="shared" si="88"/>
        <v>18041874.515143406</v>
      </c>
      <c r="W137" s="145">
        <f t="shared" si="89"/>
        <v>18541361.465565078</v>
      </c>
      <c r="X137" s="129">
        <f t="shared" si="90"/>
        <v>18099254.098668307</v>
      </c>
      <c r="Y137" s="144"/>
      <c r="Z137" s="129"/>
      <c r="AA137" s="144"/>
      <c r="AB137" s="128"/>
      <c r="AC137" s="128"/>
      <c r="AW137" s="127"/>
      <c r="AZ137" s="145"/>
    </row>
    <row r="138" spans="1:52" x14ac:dyDescent="0.2">
      <c r="A138" s="127">
        <v>2012</v>
      </c>
      <c r="B138" s="130">
        <v>5</v>
      </c>
      <c r="C138" s="130">
        <v>18.041935483870965</v>
      </c>
      <c r="D138" s="141">
        <v>88.799999999999983</v>
      </c>
      <c r="E138" s="131">
        <v>28.100000000000005</v>
      </c>
      <c r="F138" s="131">
        <v>50.400000000000006</v>
      </c>
      <c r="G138" s="131">
        <v>51.7</v>
      </c>
      <c r="H138" s="131">
        <v>23.3</v>
      </c>
      <c r="I138" s="131">
        <v>86.6</v>
      </c>
      <c r="J138" s="131">
        <v>6.6999999999999993</v>
      </c>
      <c r="K138" s="131">
        <v>132</v>
      </c>
      <c r="L138" s="131">
        <v>0</v>
      </c>
      <c r="M138" s="131">
        <v>187.30000000000004</v>
      </c>
      <c r="N138" s="131">
        <v>0</v>
      </c>
      <c r="O138" s="131">
        <v>249.30000000000007</v>
      </c>
      <c r="P138" s="131">
        <v>0</v>
      </c>
      <c r="Q138" s="131">
        <v>311.30000000000007</v>
      </c>
      <c r="R138" s="145">
        <f>Purchases!D78</f>
        <v>18352863.636363637</v>
      </c>
      <c r="S138" s="128">
        <f ca="1">Data!G18</f>
        <v>18435675.656607635</v>
      </c>
      <c r="T138" s="127">
        <f ca="1">Data!I18</f>
        <v>14720310.113707636</v>
      </c>
      <c r="U138" s="129">
        <f t="shared" si="91"/>
        <v>14628071.588700645</v>
      </c>
      <c r="V138" s="145">
        <f t="shared" si="88"/>
        <v>19731078.01875693</v>
      </c>
      <c r="W138" s="145">
        <f t="shared" si="89"/>
        <v>19559968.299610514</v>
      </c>
      <c r="X138" s="129">
        <f t="shared" si="90"/>
        <v>19698685.236881875</v>
      </c>
      <c r="Y138" s="144"/>
      <c r="Z138" s="129"/>
      <c r="AA138" s="144"/>
      <c r="AB138" s="128"/>
      <c r="AC138" s="128"/>
      <c r="AK138" s="127" t="s">
        <v>114</v>
      </c>
      <c r="AW138" s="127"/>
      <c r="AZ138" s="145"/>
    </row>
    <row r="139" spans="1:52" x14ac:dyDescent="0.2">
      <c r="A139" s="127">
        <v>2012</v>
      </c>
      <c r="B139" s="130">
        <v>6</v>
      </c>
      <c r="C139" s="130">
        <v>22.113333333333333</v>
      </c>
      <c r="D139" s="141">
        <v>26.900000000000009</v>
      </c>
      <c r="E139" s="131">
        <v>90.300000000000011</v>
      </c>
      <c r="F139" s="131">
        <v>11.900000000000004</v>
      </c>
      <c r="G139" s="131">
        <v>135.29999999999998</v>
      </c>
      <c r="H139" s="131">
        <v>2.4000000000000004</v>
      </c>
      <c r="I139" s="131">
        <v>185.79999999999998</v>
      </c>
      <c r="J139" s="131">
        <v>0</v>
      </c>
      <c r="K139" s="131">
        <v>243.4</v>
      </c>
      <c r="L139" s="131">
        <v>0</v>
      </c>
      <c r="M139" s="131">
        <v>303.40000000000003</v>
      </c>
      <c r="N139" s="131">
        <v>0</v>
      </c>
      <c r="O139" s="131">
        <v>363.4</v>
      </c>
      <c r="P139" s="131">
        <v>0</v>
      </c>
      <c r="Q139" s="131">
        <v>423.4</v>
      </c>
      <c r="R139" s="145">
        <f>Purchases!D79</f>
        <v>22640936.36363636</v>
      </c>
      <c r="S139" s="128">
        <f ca="1">Data!G19</f>
        <v>22731393.785418507</v>
      </c>
      <c r="T139" s="127">
        <f ca="1">Data!I19</f>
        <v>18894457.144818507</v>
      </c>
      <c r="U139" s="129">
        <f t="shared" si="91"/>
        <v>18950120.452096038</v>
      </c>
      <c r="V139" s="145">
        <f t="shared" si="88"/>
        <v>24041295.772796251</v>
      </c>
      <c r="W139" s="145">
        <f t="shared" si="89"/>
        <v>24267576.988388915</v>
      </c>
      <c r="X139" s="129">
        <f t="shared" si="90"/>
        <v>24072903.043445639</v>
      </c>
      <c r="Y139" s="144"/>
      <c r="Z139" s="129"/>
      <c r="AA139" s="144"/>
      <c r="AB139" s="128"/>
      <c r="AC139" s="128"/>
      <c r="AK139" s="127" t="s">
        <v>115</v>
      </c>
      <c r="AL139" s="127">
        <v>21107669.826609399</v>
      </c>
      <c r="AM139" s="127" t="s">
        <v>116</v>
      </c>
      <c r="AN139" s="127">
        <v>2669499.31533268</v>
      </c>
      <c r="AW139" s="127"/>
      <c r="AZ139" s="145"/>
    </row>
    <row r="140" spans="1:52" x14ac:dyDescent="0.2">
      <c r="A140" s="127">
        <v>2012</v>
      </c>
      <c r="B140" s="130">
        <v>7</v>
      </c>
      <c r="C140" s="130">
        <v>25.025806451612894</v>
      </c>
      <c r="D140" s="141">
        <v>0</v>
      </c>
      <c r="E140" s="131">
        <v>155.80000000000001</v>
      </c>
      <c r="F140" s="131">
        <v>0</v>
      </c>
      <c r="G140" s="131">
        <v>217.80000000000007</v>
      </c>
      <c r="H140" s="131">
        <v>0</v>
      </c>
      <c r="I140" s="131">
        <v>279.8</v>
      </c>
      <c r="J140" s="131">
        <v>0</v>
      </c>
      <c r="K140" s="131">
        <v>341.8</v>
      </c>
      <c r="L140" s="131">
        <v>0</v>
      </c>
      <c r="M140" s="131">
        <v>403.79999999999995</v>
      </c>
      <c r="N140" s="131">
        <v>0</v>
      </c>
      <c r="O140" s="131">
        <v>465.79999999999995</v>
      </c>
      <c r="P140" s="131">
        <v>0</v>
      </c>
      <c r="Q140" s="131">
        <v>527.79999999999995</v>
      </c>
      <c r="R140" s="145">
        <f>Purchases!D80</f>
        <v>27569299.999999996</v>
      </c>
      <c r="S140" s="128">
        <f ca="1">Data!G20</f>
        <v>27667402.823320288</v>
      </c>
      <c r="T140" s="127">
        <f ca="1">Data!I20</f>
        <v>22865719.733320288</v>
      </c>
      <c r="U140" s="129">
        <f t="shared" si="91"/>
        <v>23379205.157761846</v>
      </c>
      <c r="V140" s="145">
        <f t="shared" si="88"/>
        <v>28330550.072408132</v>
      </c>
      <c r="W140" s="145">
        <f t="shared" si="89"/>
        <v>29165541.033279922</v>
      </c>
      <c r="X140" s="129">
        <f t="shared" si="90"/>
        <v>28501200.80963742</v>
      </c>
      <c r="Y140" s="144"/>
      <c r="Z140" s="129"/>
      <c r="AA140" s="144"/>
      <c r="AB140" s="128"/>
      <c r="AC140" s="128"/>
      <c r="AK140" s="127" t="s">
        <v>117</v>
      </c>
      <c r="AL140" s="127">
        <v>90999195032588</v>
      </c>
      <c r="AM140" s="127" t="s">
        <v>118</v>
      </c>
      <c r="AN140" s="127">
        <v>881913.20305029303</v>
      </c>
      <c r="AW140" s="127"/>
      <c r="AZ140" s="145"/>
    </row>
    <row r="141" spans="1:52" x14ac:dyDescent="0.2">
      <c r="A141" s="127">
        <v>2012</v>
      </c>
      <c r="B141" s="130">
        <v>8</v>
      </c>
      <c r="C141" s="130">
        <v>22.232258064516131</v>
      </c>
      <c r="D141" s="141">
        <v>6.2000000000000028</v>
      </c>
      <c r="E141" s="131">
        <v>75.399999999999991</v>
      </c>
      <c r="F141" s="131">
        <v>0.60000000000000142</v>
      </c>
      <c r="G141" s="131">
        <v>131.79999999999998</v>
      </c>
      <c r="H141" s="131">
        <v>0</v>
      </c>
      <c r="I141" s="131">
        <v>193.19999999999996</v>
      </c>
      <c r="J141" s="131">
        <v>0</v>
      </c>
      <c r="K141" s="131">
        <v>255.19999999999996</v>
      </c>
      <c r="L141" s="131">
        <v>0</v>
      </c>
      <c r="M141" s="131">
        <v>317.2</v>
      </c>
      <c r="N141" s="131">
        <v>0</v>
      </c>
      <c r="O141" s="131">
        <v>379.2</v>
      </c>
      <c r="P141" s="131">
        <v>0</v>
      </c>
      <c r="Q141" s="131">
        <v>441.19999999999993</v>
      </c>
      <c r="R141" s="145">
        <f>Purchases!D81</f>
        <v>23505663.636363633</v>
      </c>
      <c r="S141" s="128">
        <f ca="1">Data!G21</f>
        <v>23611411.861222073</v>
      </c>
      <c r="T141" s="127">
        <f ca="1">Data!I21</f>
        <v>17443682.043222073</v>
      </c>
      <c r="U141" s="129">
        <f t="shared" si="91"/>
        <v>18739720.010933645</v>
      </c>
      <c r="V141" s="145">
        <f t="shared" si="88"/>
        <v>24352920.349589981</v>
      </c>
      <c r="W141" s="145">
        <f t="shared" si="89"/>
        <v>23945643.364276342</v>
      </c>
      <c r="X141" s="129">
        <f t="shared" si="90"/>
        <v>24302049.371416587</v>
      </c>
      <c r="Y141" s="144"/>
      <c r="Z141" s="129"/>
      <c r="AA141" s="144"/>
      <c r="AB141" s="128"/>
      <c r="AC141" s="128"/>
      <c r="AK141" s="127" t="s">
        <v>119</v>
      </c>
      <c r="AL141" s="127">
        <v>0.89367718481465797</v>
      </c>
      <c r="AM141" s="127" t="s">
        <v>120</v>
      </c>
      <c r="AN141" s="127">
        <v>0.89185970079439603</v>
      </c>
      <c r="AW141" s="127"/>
      <c r="AZ141" s="145"/>
    </row>
    <row r="142" spans="1:52" x14ac:dyDescent="0.2">
      <c r="A142" s="127">
        <v>2012</v>
      </c>
      <c r="B142" s="130">
        <v>9</v>
      </c>
      <c r="C142" s="130">
        <v>17.649999999999999</v>
      </c>
      <c r="D142" s="141">
        <v>99.100000000000023</v>
      </c>
      <c r="E142" s="131">
        <v>28.599999999999998</v>
      </c>
      <c r="F142" s="131">
        <v>59.599999999999994</v>
      </c>
      <c r="G142" s="131">
        <v>49.099999999999994</v>
      </c>
      <c r="H142" s="131">
        <v>29.999999999999993</v>
      </c>
      <c r="I142" s="131">
        <v>79.5</v>
      </c>
      <c r="J142" s="131">
        <v>12.299999999999999</v>
      </c>
      <c r="K142" s="131">
        <v>121.79999999999997</v>
      </c>
      <c r="L142" s="131">
        <v>2</v>
      </c>
      <c r="M142" s="131">
        <v>171.50000000000006</v>
      </c>
      <c r="N142" s="131">
        <v>0</v>
      </c>
      <c r="O142" s="131">
        <v>229.50000000000006</v>
      </c>
      <c r="P142" s="131">
        <v>0</v>
      </c>
      <c r="Q142" s="131">
        <v>289.50000000000011</v>
      </c>
      <c r="R142" s="145">
        <f>Purchases!D82</f>
        <v>18912418.18181818</v>
      </c>
      <c r="S142" s="128">
        <f ca="1">Data!G22</f>
        <v>19025811.808214765</v>
      </c>
      <c r="T142" s="127">
        <f ca="1">Data!I22</f>
        <v>13881248.490214765</v>
      </c>
      <c r="U142" s="129">
        <f t="shared" si="91"/>
        <v>14548063.934574876</v>
      </c>
      <c r="V142" s="145">
        <f t="shared" si="88"/>
        <v>19483874.68558355</v>
      </c>
      <c r="W142" s="145">
        <f t="shared" si="89"/>
        <v>19490936.949869279</v>
      </c>
      <c r="X142" s="129">
        <f t="shared" si="90"/>
        <v>19459901.295109391</v>
      </c>
      <c r="Y142" s="144"/>
      <c r="Z142" s="129"/>
      <c r="AA142" s="144"/>
      <c r="AB142" s="128"/>
      <c r="AC142" s="128"/>
      <c r="AK142" s="127" t="s">
        <v>121</v>
      </c>
      <c r="AL142" s="127">
        <v>426.13231322990902</v>
      </c>
      <c r="AM142" s="127" t="s">
        <v>122</v>
      </c>
      <c r="AN142" s="143">
        <v>1.9142323716613901E-54</v>
      </c>
      <c r="AW142" s="127"/>
      <c r="AZ142" s="145"/>
    </row>
    <row r="143" spans="1:52" x14ac:dyDescent="0.2">
      <c r="A143" s="127">
        <v>2012</v>
      </c>
      <c r="B143" s="130">
        <v>10</v>
      </c>
      <c r="C143" s="130">
        <v>11.490322580645161</v>
      </c>
      <c r="D143" s="141">
        <v>263.80000000000007</v>
      </c>
      <c r="E143" s="131">
        <v>0</v>
      </c>
      <c r="F143" s="131">
        <v>205.90000000000003</v>
      </c>
      <c r="G143" s="131">
        <v>4.1000000000000014</v>
      </c>
      <c r="H143" s="131">
        <v>155.80000000000001</v>
      </c>
      <c r="I143" s="131">
        <v>16.000000000000004</v>
      </c>
      <c r="J143" s="131">
        <v>109.80000000000001</v>
      </c>
      <c r="K143" s="131">
        <v>32</v>
      </c>
      <c r="L143" s="131">
        <v>70.499999999999986</v>
      </c>
      <c r="M143" s="131">
        <v>54.7</v>
      </c>
      <c r="N143" s="131">
        <v>37.499999999999993</v>
      </c>
      <c r="O143" s="131">
        <v>83.7</v>
      </c>
      <c r="P143" s="131">
        <v>15.399999999999999</v>
      </c>
      <c r="Q143" s="131">
        <v>123.60000000000001</v>
      </c>
      <c r="R143" s="145">
        <f>Purchases!D83</f>
        <v>17381318.18181818</v>
      </c>
      <c r="S143" s="128">
        <f ca="1">Data!G23</f>
        <v>17502357.20975291</v>
      </c>
      <c r="T143" s="127">
        <f ca="1">Data!I23</f>
        <v>13392841.66275291</v>
      </c>
      <c r="U143" s="129">
        <f t="shared" si="91"/>
        <v>13251797.397955606</v>
      </c>
      <c r="V143" s="145">
        <f t="shared" si="88"/>
        <v>18048823.190856822</v>
      </c>
      <c r="W143" s="145">
        <f t="shared" si="89"/>
        <v>18171135.838776708</v>
      </c>
      <c r="X143" s="129">
        <f t="shared" si="90"/>
        <v>18062285.918174621</v>
      </c>
      <c r="Y143" s="144"/>
      <c r="Z143" s="129"/>
      <c r="AA143" s="144"/>
      <c r="AB143" s="128"/>
      <c r="AC143" s="128"/>
      <c r="AK143" s="127" t="s">
        <v>123</v>
      </c>
      <c r="AL143" s="127">
        <v>2.2168626700905299E-2</v>
      </c>
      <c r="AM143" s="127" t="s">
        <v>124</v>
      </c>
      <c r="AN143" s="127">
        <v>1.9514545551304601</v>
      </c>
      <c r="AW143" s="127"/>
      <c r="AZ143" s="145"/>
    </row>
    <row r="144" spans="1:52" x14ac:dyDescent="0.2">
      <c r="A144" s="127">
        <v>2012</v>
      </c>
      <c r="B144" s="130">
        <v>11</v>
      </c>
      <c r="C144" s="130">
        <v>4.4266666666666659</v>
      </c>
      <c r="D144" s="141">
        <v>467.20000000000005</v>
      </c>
      <c r="E144" s="131">
        <v>0</v>
      </c>
      <c r="F144" s="131">
        <v>407.2</v>
      </c>
      <c r="G144" s="131">
        <v>0</v>
      </c>
      <c r="H144" s="131">
        <v>347.2</v>
      </c>
      <c r="I144" s="131">
        <v>0</v>
      </c>
      <c r="J144" s="131">
        <v>287.8</v>
      </c>
      <c r="K144" s="131">
        <v>0.59999999999999964</v>
      </c>
      <c r="L144" s="131">
        <v>229.80000000000004</v>
      </c>
      <c r="M144" s="131">
        <v>2.5999999999999996</v>
      </c>
      <c r="N144" s="131">
        <v>173.40000000000003</v>
      </c>
      <c r="O144" s="131">
        <v>6.1999999999999993</v>
      </c>
      <c r="P144" s="131">
        <v>119.89999999999999</v>
      </c>
      <c r="Q144" s="131">
        <v>12.7</v>
      </c>
      <c r="R144" s="145">
        <f>Purchases!D84</f>
        <v>18308972.727272727</v>
      </c>
      <c r="S144" s="128">
        <f ca="1">Data!G24</f>
        <v>18437657.156745605</v>
      </c>
      <c r="T144" s="127">
        <f ca="1">Data!I24</f>
        <v>14737404.210045606</v>
      </c>
      <c r="U144" s="129">
        <f t="shared" si="91"/>
        <v>14751951.409604991</v>
      </c>
      <c r="V144" s="145">
        <f t="shared" si="88"/>
        <v>19568080.805368003</v>
      </c>
      <c r="W144" s="145">
        <f t="shared" si="89"/>
        <v>19868375.59182664</v>
      </c>
      <c r="X144" s="129">
        <f t="shared" si="90"/>
        <v>19605720.636039451</v>
      </c>
      <c r="Y144" s="144"/>
      <c r="Z144" s="129"/>
      <c r="AA144" s="144"/>
      <c r="AB144" s="128"/>
      <c r="AC144" s="128"/>
      <c r="AW144" s="127"/>
      <c r="AZ144" s="145"/>
    </row>
    <row r="145" spans="1:52" x14ac:dyDescent="0.2">
      <c r="A145" s="127">
        <v>2012</v>
      </c>
      <c r="B145" s="130">
        <v>12</v>
      </c>
      <c r="C145" s="130">
        <v>1.9999999999999998</v>
      </c>
      <c r="D145" s="141">
        <v>558</v>
      </c>
      <c r="E145" s="131">
        <v>0</v>
      </c>
      <c r="F145" s="131">
        <v>495.99999999999994</v>
      </c>
      <c r="G145" s="131">
        <v>0</v>
      </c>
      <c r="H145" s="131">
        <v>433.99999999999994</v>
      </c>
      <c r="I145" s="131">
        <v>0</v>
      </c>
      <c r="J145" s="131">
        <v>372</v>
      </c>
      <c r="K145" s="131">
        <v>0</v>
      </c>
      <c r="L145" s="131">
        <v>310</v>
      </c>
      <c r="M145" s="131">
        <v>0</v>
      </c>
      <c r="N145" s="131">
        <v>249.30000000000004</v>
      </c>
      <c r="O145" s="131">
        <v>1.3000000000000007</v>
      </c>
      <c r="P145" s="131">
        <v>195</v>
      </c>
      <c r="Q145" s="131">
        <v>9.0000000000000018</v>
      </c>
      <c r="R145" s="145">
        <f>Purchases!D85</f>
        <v>20133590.90909091</v>
      </c>
      <c r="S145" s="128">
        <f ca="1">Data!G25</f>
        <v>20269920.740101933</v>
      </c>
      <c r="T145" s="127">
        <f ca="1">Data!I25</f>
        <v>16317570.594001934</v>
      </c>
      <c r="U145" s="129">
        <f t="shared" si="91"/>
        <v>15532579.440528514</v>
      </c>
      <c r="V145" s="145">
        <f t="shared" si="88"/>
        <v>20590341.076496303</v>
      </c>
      <c r="W145" s="145">
        <f t="shared" si="89"/>
        <v>20726983.770383567</v>
      </c>
      <c r="X145" s="129">
        <f t="shared" si="90"/>
        <v>20629385.406278647</v>
      </c>
      <c r="Y145" s="144"/>
      <c r="Z145" s="129"/>
      <c r="AA145" s="144"/>
      <c r="AB145" s="128"/>
      <c r="AC145" s="128"/>
      <c r="AK145" s="127" t="s">
        <v>175</v>
      </c>
      <c r="AW145" s="127"/>
      <c r="AZ145" s="145"/>
    </row>
    <row r="146" spans="1:52" x14ac:dyDescent="0.2">
      <c r="A146" s="127">
        <v>2013</v>
      </c>
      <c r="B146" s="130">
        <v>1</v>
      </c>
      <c r="C146" s="130">
        <v>-1.7903225806451613</v>
      </c>
      <c r="D146" s="141">
        <v>675.50000000000011</v>
      </c>
      <c r="E146" s="131">
        <v>0</v>
      </c>
      <c r="F146" s="131">
        <v>613.5</v>
      </c>
      <c r="G146" s="131">
        <v>0</v>
      </c>
      <c r="H146" s="131">
        <v>551.5</v>
      </c>
      <c r="I146" s="131">
        <v>0</v>
      </c>
      <c r="J146" s="131">
        <v>489.49999999999994</v>
      </c>
      <c r="K146" s="131">
        <v>0</v>
      </c>
      <c r="L146" s="131">
        <v>427.5</v>
      </c>
      <c r="M146" s="131">
        <v>0</v>
      </c>
      <c r="N146" s="131">
        <v>366.09999999999997</v>
      </c>
      <c r="O146" s="131">
        <v>0.59999999999999964</v>
      </c>
      <c r="P146" s="131">
        <v>306.79999999999995</v>
      </c>
      <c r="Q146" s="131">
        <v>3.2999999999999989</v>
      </c>
      <c r="R146" s="145">
        <f>Purchases!D86</f>
        <v>23386699.999999996</v>
      </c>
      <c r="S146" s="128">
        <f ca="1">Data!G26</f>
        <v>23534842.84654301</v>
      </c>
      <c r="T146" s="127">
        <f ca="1">Data!I26</f>
        <v>18719567.262543011</v>
      </c>
      <c r="U146" s="129">
        <f t="shared" si="91"/>
        <v>16589305.173633512</v>
      </c>
      <c r="V146" s="145">
        <f t="shared" si="88"/>
        <v>21974161.143979892</v>
      </c>
      <c r="W146" s="145">
        <f t="shared" si="89"/>
        <v>21863092.565208331</v>
      </c>
      <c r="X146" s="129">
        <f t="shared" si="90"/>
        <v>21983896.78581813</v>
      </c>
      <c r="Y146" s="144"/>
      <c r="Z146" s="129"/>
      <c r="AA146" s="144"/>
      <c r="AB146" s="128"/>
      <c r="AC146" s="128"/>
      <c r="AK146" s="127" t="s">
        <v>176</v>
      </c>
      <c r="AW146" s="127"/>
      <c r="AZ146" s="145"/>
    </row>
    <row r="147" spans="1:52" x14ac:dyDescent="0.2">
      <c r="A147" s="127">
        <v>2013</v>
      </c>
      <c r="B147" s="130">
        <v>2</v>
      </c>
      <c r="C147" s="130">
        <v>-3.1000000000000005</v>
      </c>
      <c r="D147" s="141">
        <v>646.79999999999995</v>
      </c>
      <c r="E147" s="131">
        <v>0</v>
      </c>
      <c r="F147" s="131">
        <v>590.79999999999995</v>
      </c>
      <c r="G147" s="131">
        <v>0</v>
      </c>
      <c r="H147" s="131">
        <v>534.79999999999995</v>
      </c>
      <c r="I147" s="131">
        <v>0</v>
      </c>
      <c r="J147" s="131">
        <v>478.79999999999995</v>
      </c>
      <c r="K147" s="131">
        <v>0</v>
      </c>
      <c r="L147" s="131">
        <v>422.79999999999995</v>
      </c>
      <c r="M147" s="131">
        <v>0</v>
      </c>
      <c r="N147" s="131">
        <v>366.79999999999995</v>
      </c>
      <c r="O147" s="131">
        <v>0</v>
      </c>
      <c r="P147" s="131">
        <v>310.79999999999995</v>
      </c>
      <c r="Q147" s="131">
        <v>0</v>
      </c>
      <c r="R147" s="145">
        <f>Purchases!D87</f>
        <v>21170572.727272727</v>
      </c>
      <c r="S147" s="128">
        <f ca="1">Data!G27</f>
        <v>21322883.187809583</v>
      </c>
      <c r="T147" s="127">
        <f ca="1">Data!I27</f>
        <v>16200960.333809584</v>
      </c>
      <c r="U147" s="129">
        <f t="shared" si="91"/>
        <v>16439115.218375186</v>
      </c>
      <c r="V147" s="145">
        <f t="shared" si="88"/>
        <v>21777482.036516264</v>
      </c>
      <c r="W147" s="145">
        <f t="shared" si="89"/>
        <v>21643606.015059207</v>
      </c>
      <c r="X147" s="129">
        <f t="shared" si="90"/>
        <v>21722216.715047523</v>
      </c>
      <c r="Y147" s="144"/>
      <c r="Z147" s="129"/>
      <c r="AA147" s="144"/>
      <c r="AB147" s="128"/>
      <c r="AC147" s="128"/>
      <c r="AK147" s="127" t="s">
        <v>177</v>
      </c>
      <c r="AW147" s="127"/>
      <c r="AZ147" s="145"/>
    </row>
    <row r="148" spans="1:52" x14ac:dyDescent="0.2">
      <c r="A148" s="127">
        <v>2013</v>
      </c>
      <c r="B148" s="130">
        <v>3</v>
      </c>
      <c r="C148" s="130">
        <v>1.0903225806451615</v>
      </c>
      <c r="D148" s="141">
        <v>586.20000000000005</v>
      </c>
      <c r="E148" s="131">
        <v>0</v>
      </c>
      <c r="F148" s="131">
        <v>524.20000000000016</v>
      </c>
      <c r="G148" s="131">
        <v>0</v>
      </c>
      <c r="H148" s="131">
        <v>462.20000000000005</v>
      </c>
      <c r="I148" s="131">
        <v>0</v>
      </c>
      <c r="J148" s="131">
        <v>400.20000000000005</v>
      </c>
      <c r="K148" s="131">
        <v>0</v>
      </c>
      <c r="L148" s="131">
        <v>338.20000000000005</v>
      </c>
      <c r="M148" s="131">
        <v>0</v>
      </c>
      <c r="N148" s="131">
        <v>276.2</v>
      </c>
      <c r="O148" s="131">
        <v>0</v>
      </c>
      <c r="P148" s="131">
        <v>217.3</v>
      </c>
      <c r="Q148" s="131">
        <v>3.0999999999999996</v>
      </c>
      <c r="R148" s="145">
        <f>Purchases!D88</f>
        <v>21583554.545454543</v>
      </c>
      <c r="S148" s="128">
        <f ca="1">Data!G28</f>
        <v>21740032.619985241</v>
      </c>
      <c r="T148" s="127">
        <f ca="1">Data!I28</f>
        <v>17075838.028385244</v>
      </c>
      <c r="U148" s="129">
        <f t="shared" si="91"/>
        <v>15786193.616473714</v>
      </c>
      <c r="V148" s="145">
        <f t="shared" si="88"/>
        <v>20922457.892692365</v>
      </c>
      <c r="W148" s="145">
        <f t="shared" si="89"/>
        <v>20999649.881141514</v>
      </c>
      <c r="X148" s="129">
        <f t="shared" si="90"/>
        <v>20954468.137368128</v>
      </c>
      <c r="Y148" s="144"/>
      <c r="Z148" s="129"/>
      <c r="AA148" s="144"/>
      <c r="AB148" s="128"/>
      <c r="AC148" s="128"/>
      <c r="AW148" s="127"/>
      <c r="AZ148" s="145"/>
    </row>
    <row r="149" spans="1:52" x14ac:dyDescent="0.2">
      <c r="A149" s="127">
        <v>2013</v>
      </c>
      <c r="B149" s="130">
        <v>4</v>
      </c>
      <c r="C149" s="130">
        <v>7.39</v>
      </c>
      <c r="D149" s="141">
        <v>378.29999999999995</v>
      </c>
      <c r="E149" s="131">
        <v>0</v>
      </c>
      <c r="F149" s="131">
        <v>318.29999999999995</v>
      </c>
      <c r="G149" s="131">
        <v>0</v>
      </c>
      <c r="H149" s="131">
        <v>259.09999999999997</v>
      </c>
      <c r="I149" s="131">
        <v>0.80000000000000071</v>
      </c>
      <c r="J149" s="131">
        <v>204.59999999999994</v>
      </c>
      <c r="K149" s="131">
        <v>6.3000000000000007</v>
      </c>
      <c r="L149" s="131">
        <v>151.79999999999998</v>
      </c>
      <c r="M149" s="131">
        <v>13.5</v>
      </c>
      <c r="N149" s="131">
        <v>105.1</v>
      </c>
      <c r="O149" s="131">
        <v>26.8</v>
      </c>
      <c r="P149" s="131">
        <v>66.900000000000006</v>
      </c>
      <c r="Q149" s="131">
        <v>48.600000000000009</v>
      </c>
      <c r="R149" s="145">
        <f>Purchases!D89</f>
        <v>19125345.454545453</v>
      </c>
      <c r="S149" s="128">
        <f ca="1">Data!G29</f>
        <v>19285991.143069994</v>
      </c>
      <c r="T149" s="127">
        <f ca="1">Data!I29</f>
        <v>14580758.116069995</v>
      </c>
      <c r="U149" s="129">
        <f t="shared" si="91"/>
        <v>13959631.945038605</v>
      </c>
      <c r="V149" s="145">
        <f t="shared" si="88"/>
        <v>18567255.031880859</v>
      </c>
      <c r="W149" s="145">
        <f t="shared" si="89"/>
        <v>19008800.512167733</v>
      </c>
      <c r="X149" s="129">
        <f t="shared" si="90"/>
        <v>18619758.222648378</v>
      </c>
      <c r="Y149" s="144"/>
      <c r="Z149" s="129"/>
      <c r="AA149" s="144"/>
      <c r="AB149" s="128"/>
      <c r="AC149" s="128"/>
      <c r="AL149" s="127" t="s">
        <v>107</v>
      </c>
      <c r="AM149" s="127" t="s">
        <v>108</v>
      </c>
      <c r="AN149" s="127" t="s">
        <v>109</v>
      </c>
      <c r="AO149" s="127" t="s">
        <v>110</v>
      </c>
      <c r="AW149" s="127"/>
      <c r="AZ149" s="145"/>
    </row>
    <row r="150" spans="1:52" x14ac:dyDescent="0.2">
      <c r="A150" s="127">
        <v>2013</v>
      </c>
      <c r="B150" s="130">
        <v>5</v>
      </c>
      <c r="C150" s="130">
        <v>16.964516129032255</v>
      </c>
      <c r="D150" s="141">
        <v>122.69999999999999</v>
      </c>
      <c r="E150" s="131">
        <v>28.599999999999998</v>
      </c>
      <c r="F150" s="131">
        <v>83.3</v>
      </c>
      <c r="G150" s="131">
        <v>51.2</v>
      </c>
      <c r="H150" s="131">
        <v>54.8</v>
      </c>
      <c r="I150" s="131">
        <v>84.7</v>
      </c>
      <c r="J150" s="131">
        <v>34.1</v>
      </c>
      <c r="K150" s="131">
        <v>126</v>
      </c>
      <c r="L150" s="131">
        <v>19.100000000000001</v>
      </c>
      <c r="M150" s="131">
        <v>173</v>
      </c>
      <c r="N150" s="131">
        <v>9.1000000000000014</v>
      </c>
      <c r="O150" s="131">
        <v>225</v>
      </c>
      <c r="P150" s="131">
        <v>3</v>
      </c>
      <c r="Q150" s="131">
        <v>280.89999999999998</v>
      </c>
      <c r="R150" s="145">
        <f>Purchases!D90</f>
        <v>17617625.000000004</v>
      </c>
      <c r="S150" s="128">
        <f ca="1">Data!G30</f>
        <v>17782438.302518386</v>
      </c>
      <c r="T150" s="127">
        <f ca="1">Data!I30</f>
        <v>13866929.501218386</v>
      </c>
      <c r="U150" s="129">
        <f t="shared" si="91"/>
        <v>14884390.268424079</v>
      </c>
      <c r="V150" s="145">
        <f t="shared" si="88"/>
        <v>20014790.556368776</v>
      </c>
      <c r="W150" s="145">
        <f t="shared" si="89"/>
        <v>19847696.79079159</v>
      </c>
      <c r="X150" s="129">
        <f t="shared" si="90"/>
        <v>19985667.483488493</v>
      </c>
      <c r="Y150" s="144"/>
      <c r="Z150" s="129"/>
      <c r="AA150" s="144"/>
      <c r="AB150" s="128"/>
      <c r="AC150" s="128"/>
      <c r="AK150" s="127" t="s">
        <v>111</v>
      </c>
      <c r="AL150" s="127">
        <v>14911618.221158801</v>
      </c>
      <c r="AM150" s="127">
        <v>262660.55326362699</v>
      </c>
      <c r="AN150" s="127">
        <v>56.771441451249601</v>
      </c>
      <c r="AO150" s="143">
        <v>5.2998136896591401E-87</v>
      </c>
      <c r="AW150" s="127"/>
      <c r="AZ150" s="145"/>
    </row>
    <row r="151" spans="1:52" x14ac:dyDescent="0.2">
      <c r="A151" s="127">
        <v>2013</v>
      </c>
      <c r="B151" s="130">
        <v>6</v>
      </c>
      <c r="C151" s="130">
        <v>20.25</v>
      </c>
      <c r="D151" s="141">
        <v>41.6</v>
      </c>
      <c r="E151" s="131">
        <v>49.099999999999994</v>
      </c>
      <c r="F151" s="131">
        <v>18.200000000000003</v>
      </c>
      <c r="G151" s="131">
        <v>85.700000000000017</v>
      </c>
      <c r="H151" s="131">
        <v>6</v>
      </c>
      <c r="I151" s="131">
        <v>133.49999999999997</v>
      </c>
      <c r="J151" s="131">
        <v>0.40000000000000036</v>
      </c>
      <c r="K151" s="131">
        <v>187.9</v>
      </c>
      <c r="L151" s="131">
        <v>0</v>
      </c>
      <c r="M151" s="131">
        <v>247.50000000000003</v>
      </c>
      <c r="N151" s="131">
        <v>0</v>
      </c>
      <c r="O151" s="131">
        <v>307.50000000000006</v>
      </c>
      <c r="P151" s="131">
        <v>0</v>
      </c>
      <c r="Q151" s="131">
        <v>367.50000000000011</v>
      </c>
      <c r="R151" s="145">
        <f>Purchases!D91</f>
        <v>19936866.666666668</v>
      </c>
      <c r="S151" s="128">
        <f ca="1">Data!G31</f>
        <v>20105847.583178889</v>
      </c>
      <c r="T151" s="127">
        <f ca="1">Data!I31</f>
        <v>16460529.867378889</v>
      </c>
      <c r="U151" s="129">
        <f t="shared" si="91"/>
        <v>16306700.64519397</v>
      </c>
      <c r="V151" s="145">
        <f t="shared" si="88"/>
        <v>21681499.270421963</v>
      </c>
      <c r="W151" s="145">
        <f t="shared" si="89"/>
        <v>21314600.197923724</v>
      </c>
      <c r="X151" s="129">
        <f t="shared" si="90"/>
        <v>21605373.622349143</v>
      </c>
      <c r="Y151" s="144"/>
      <c r="Z151" s="129"/>
      <c r="AA151" s="144"/>
      <c r="AB151" s="128"/>
      <c r="AC151" s="128"/>
      <c r="AK151" s="127" t="s">
        <v>91</v>
      </c>
      <c r="AL151" s="127">
        <v>11527.756421612599</v>
      </c>
      <c r="AM151" s="127">
        <v>555.03210743588602</v>
      </c>
      <c r="AN151" s="127">
        <v>20.7695307481724</v>
      </c>
      <c r="AO151" s="143">
        <v>4.6876006770634903E-41</v>
      </c>
      <c r="AW151" s="127"/>
      <c r="AZ151" s="145"/>
    </row>
    <row r="152" spans="1:52" x14ac:dyDescent="0.2">
      <c r="A152" s="127">
        <v>2013</v>
      </c>
      <c r="B152" s="130">
        <v>7</v>
      </c>
      <c r="C152" s="130">
        <v>22.716129032258067</v>
      </c>
      <c r="D152" s="141">
        <v>14</v>
      </c>
      <c r="E152" s="131">
        <v>98.200000000000017</v>
      </c>
      <c r="F152" s="131">
        <v>2.6000000000000014</v>
      </c>
      <c r="G152" s="131">
        <v>148.79999999999995</v>
      </c>
      <c r="H152" s="131">
        <v>0</v>
      </c>
      <c r="I152" s="131">
        <v>208.19999999999993</v>
      </c>
      <c r="J152" s="131">
        <v>0</v>
      </c>
      <c r="K152" s="131">
        <v>270.2</v>
      </c>
      <c r="L152" s="131">
        <v>0</v>
      </c>
      <c r="M152" s="131">
        <v>332.20000000000005</v>
      </c>
      <c r="N152" s="131">
        <v>0</v>
      </c>
      <c r="O152" s="131">
        <v>394.2</v>
      </c>
      <c r="P152" s="131">
        <v>0</v>
      </c>
      <c r="Q152" s="131">
        <v>456.2</v>
      </c>
      <c r="R152" s="145">
        <f>Purchases!D92</f>
        <v>23686275</v>
      </c>
      <c r="S152" s="128">
        <f ca="1">Data!G32</f>
        <v>23859423.530506063</v>
      </c>
      <c r="T152" s="127">
        <f ca="1">Data!I32</f>
        <v>19615125.552406065</v>
      </c>
      <c r="U152" s="129">
        <f t="shared" si="91"/>
        <v>19656827.539957821</v>
      </c>
      <c r="V152" s="145">
        <f t="shared" si="88"/>
        <v>25041886.236914136</v>
      </c>
      <c r="W152" s="145">
        <f t="shared" si="89"/>
        <v>24997968.412891053</v>
      </c>
      <c r="X152" s="129">
        <f t="shared" si="90"/>
        <v>25053638.618452735</v>
      </c>
      <c r="Y152" s="144"/>
      <c r="Z152" s="129"/>
      <c r="AA152" s="144"/>
      <c r="AB152" s="128"/>
      <c r="AC152" s="128"/>
      <c r="AK152" s="127" t="s">
        <v>94</v>
      </c>
      <c r="AL152" s="127">
        <v>48568.915612861398</v>
      </c>
      <c r="AM152" s="127">
        <v>1593.5808035513601</v>
      </c>
      <c r="AN152" s="127">
        <v>30.477849321869101</v>
      </c>
      <c r="AO152" s="143">
        <v>1.7415529611386201E-57</v>
      </c>
      <c r="AW152" s="127"/>
      <c r="AZ152" s="145"/>
    </row>
    <row r="153" spans="1:52" x14ac:dyDescent="0.2">
      <c r="A153" s="127">
        <v>2013</v>
      </c>
      <c r="B153" s="130">
        <v>8</v>
      </c>
      <c r="C153" s="130">
        <v>21.593548387096774</v>
      </c>
      <c r="D153" s="141">
        <v>14.700000000000003</v>
      </c>
      <c r="E153" s="131">
        <v>64.100000000000009</v>
      </c>
      <c r="F153" s="131">
        <v>3.9000000000000021</v>
      </c>
      <c r="G153" s="131">
        <v>115.29999999999998</v>
      </c>
      <c r="H153" s="131">
        <v>0</v>
      </c>
      <c r="I153" s="131">
        <v>173.40000000000003</v>
      </c>
      <c r="J153" s="131">
        <v>0</v>
      </c>
      <c r="K153" s="131">
        <v>235.4</v>
      </c>
      <c r="L153" s="131">
        <v>0</v>
      </c>
      <c r="M153" s="131">
        <v>297.40000000000003</v>
      </c>
      <c r="N153" s="131">
        <v>0</v>
      </c>
      <c r="O153" s="131">
        <v>359.40000000000003</v>
      </c>
      <c r="P153" s="131">
        <v>0</v>
      </c>
      <c r="Q153" s="131">
        <v>421.40000000000003</v>
      </c>
      <c r="R153" s="145">
        <f>Purchases!D93</f>
        <v>22403900.000000004</v>
      </c>
      <c r="S153" s="128">
        <f ca="1">Data!G33</f>
        <v>22581216.144499909</v>
      </c>
      <c r="T153" s="127">
        <f ca="1">Data!I33</f>
        <v>17281611.482499909</v>
      </c>
      <c r="U153" s="129">
        <f t="shared" si="91"/>
        <v>17849586.232763119</v>
      </c>
      <c r="V153" s="145">
        <f t="shared" si="88"/>
        <v>23443485.378322091</v>
      </c>
      <c r="W153" s="145">
        <f t="shared" si="89"/>
        <v>22974946.045436345</v>
      </c>
      <c r="X153" s="129">
        <f t="shared" si="90"/>
        <v>23378426.438473258</v>
      </c>
      <c r="Y153" s="129"/>
      <c r="Z153" s="144"/>
      <c r="AA153" s="128"/>
      <c r="AB153" s="128"/>
      <c r="AW153" s="127"/>
      <c r="AY153" s="145"/>
    </row>
    <row r="154" spans="1:52" x14ac:dyDescent="0.2">
      <c r="A154" s="127">
        <v>2013</v>
      </c>
      <c r="B154" s="130">
        <v>9</v>
      </c>
      <c r="C154" s="130">
        <v>17.74666666666667</v>
      </c>
      <c r="D154" s="141">
        <v>93.899999999999991</v>
      </c>
      <c r="E154" s="131">
        <v>26.299999999999997</v>
      </c>
      <c r="F154" s="131">
        <v>53.7</v>
      </c>
      <c r="G154" s="131">
        <v>46.099999999999994</v>
      </c>
      <c r="H154" s="131">
        <v>25.700000000000003</v>
      </c>
      <c r="I154" s="131">
        <v>78.100000000000009</v>
      </c>
      <c r="J154" s="131">
        <v>9.1000000000000014</v>
      </c>
      <c r="K154" s="131">
        <v>121.49999999999999</v>
      </c>
      <c r="L154" s="131">
        <v>0</v>
      </c>
      <c r="M154" s="131">
        <v>172.39999999999998</v>
      </c>
      <c r="N154" s="131">
        <v>0</v>
      </c>
      <c r="O154" s="131">
        <v>232.39999999999998</v>
      </c>
      <c r="P154" s="131">
        <v>0</v>
      </c>
      <c r="Q154" s="131">
        <v>292.39999999999998</v>
      </c>
      <c r="R154" s="145">
        <f>Purchases!D94</f>
        <v>18880325</v>
      </c>
      <c r="S154" s="128">
        <f ca="1">Data!G34</f>
        <v>19061808.758493748</v>
      </c>
      <c r="T154" s="127">
        <f ca="1">Data!I34</f>
        <v>14236304.752493747</v>
      </c>
      <c r="U154" s="129">
        <f t="shared" si="91"/>
        <v>14347549.764326565</v>
      </c>
      <c r="V154" s="145">
        <f t="shared" ref="V154:V185" si="92">$AL$118+H154*$AL$119+I154*$AL$120</f>
        <v>19368929.276892763</v>
      </c>
      <c r="W154" s="145">
        <f t="shared" ref="W154:W185" si="93">$AL$134+F154*$AL$135+G154*$AL$136</f>
        <v>19251597.956633404</v>
      </c>
      <c r="X154" s="129">
        <f t="shared" ref="X154:X185" si="94">$AL$150+F154*$AL$151+I154*$AL$152</f>
        <v>19323891.050363872</v>
      </c>
      <c r="Y154" s="129"/>
      <c r="Z154" s="144"/>
      <c r="AA154" s="128"/>
      <c r="AB154" s="128"/>
      <c r="AK154" s="127" t="s">
        <v>114</v>
      </c>
      <c r="AW154" s="127"/>
      <c r="AY154" s="145"/>
    </row>
    <row r="155" spans="1:52" x14ac:dyDescent="0.2">
      <c r="A155" s="127">
        <v>2013</v>
      </c>
      <c r="B155" s="130">
        <v>10</v>
      </c>
      <c r="C155" s="130">
        <v>12.370967741935486</v>
      </c>
      <c r="D155" s="141">
        <v>240.3</v>
      </c>
      <c r="E155" s="131">
        <v>3.8000000000000007</v>
      </c>
      <c r="F155" s="131">
        <v>187.09999999999997</v>
      </c>
      <c r="G155" s="131">
        <v>12.599999999999998</v>
      </c>
      <c r="H155" s="131">
        <v>139.1</v>
      </c>
      <c r="I155" s="131">
        <v>26.599999999999998</v>
      </c>
      <c r="J155" s="131">
        <v>96.100000000000023</v>
      </c>
      <c r="K155" s="131">
        <v>45.599999999999994</v>
      </c>
      <c r="L155" s="131">
        <v>62.2</v>
      </c>
      <c r="M155" s="131">
        <v>73.699999999999989</v>
      </c>
      <c r="N155" s="131">
        <v>36.5</v>
      </c>
      <c r="O155" s="131">
        <v>109.99999999999999</v>
      </c>
      <c r="P155" s="131">
        <v>18.2</v>
      </c>
      <c r="Q155" s="131">
        <v>153.69999999999996</v>
      </c>
      <c r="R155" s="145">
        <f>Purchases!D95</f>
        <v>18114283.333333336</v>
      </c>
      <c r="S155" s="128">
        <f ca="1">Data!G35</f>
        <v>18299934.705820926</v>
      </c>
      <c r="T155" s="127">
        <f ca="1">Data!I35</f>
        <v>14319309.599420926</v>
      </c>
      <c r="U155" s="129">
        <f t="shared" si="91"/>
        <v>13560161.207209365</v>
      </c>
      <c r="V155" s="145">
        <f t="shared" si="92"/>
        <v>18339013.310435604</v>
      </c>
      <c r="W155" s="145">
        <f t="shared" si="93"/>
        <v>18505851.944892317</v>
      </c>
      <c r="X155" s="129">
        <f t="shared" si="94"/>
        <v>18360394.602944631</v>
      </c>
      <c r="Y155" s="129"/>
      <c r="Z155" s="144"/>
      <c r="AA155" s="128"/>
      <c r="AB155" s="128"/>
      <c r="AK155" s="127" t="s">
        <v>115</v>
      </c>
      <c r="AL155" s="127">
        <v>21107669.826609399</v>
      </c>
      <c r="AM155" s="127" t="s">
        <v>116</v>
      </c>
      <c r="AN155" s="127">
        <v>2669499.31533268</v>
      </c>
      <c r="AW155" s="127"/>
      <c r="AY155" s="145"/>
    </row>
    <row r="156" spans="1:52" x14ac:dyDescent="0.2">
      <c r="A156" s="127">
        <v>2013</v>
      </c>
      <c r="B156" s="130">
        <v>11</v>
      </c>
      <c r="C156" s="130">
        <v>3.2433333333333336</v>
      </c>
      <c r="D156" s="141">
        <v>502.70000000000005</v>
      </c>
      <c r="E156" s="131">
        <v>0</v>
      </c>
      <c r="F156" s="131">
        <v>442.7</v>
      </c>
      <c r="G156" s="131">
        <v>0</v>
      </c>
      <c r="H156" s="131">
        <v>382.7</v>
      </c>
      <c r="I156" s="131">
        <v>0</v>
      </c>
      <c r="J156" s="131">
        <v>322.7</v>
      </c>
      <c r="K156" s="131">
        <v>0</v>
      </c>
      <c r="L156" s="131">
        <v>264</v>
      </c>
      <c r="M156" s="131">
        <v>1.3000000000000007</v>
      </c>
      <c r="N156" s="131">
        <v>208.60000000000002</v>
      </c>
      <c r="O156" s="131">
        <v>5.9</v>
      </c>
      <c r="P156" s="131">
        <v>157.50000000000003</v>
      </c>
      <c r="Q156" s="131">
        <v>14.8</v>
      </c>
      <c r="R156" s="145">
        <f>Purchases!D96</f>
        <v>19414258.333333336</v>
      </c>
      <c r="S156" s="128">
        <f ca="1">Data!G36</f>
        <v>19604077.319814768</v>
      </c>
      <c r="T156" s="127">
        <f ca="1">Data!I36</f>
        <v>15730805.782914767</v>
      </c>
      <c r="U156" s="129">
        <f t="shared" si="91"/>
        <v>15071217.482160119</v>
      </c>
      <c r="V156" s="145">
        <f t="shared" si="92"/>
        <v>19986171.123629</v>
      </c>
      <c r="W156" s="145">
        <f t="shared" si="93"/>
        <v>20211625.483029015</v>
      </c>
      <c r="X156" s="129">
        <f t="shared" si="94"/>
        <v>20014955.989006698</v>
      </c>
      <c r="Y156" s="129"/>
      <c r="Z156" s="144"/>
      <c r="AA156" s="128"/>
      <c r="AB156" s="128"/>
      <c r="AK156" s="127" t="s">
        <v>117</v>
      </c>
      <c r="AL156" s="127">
        <v>76304614170868</v>
      </c>
      <c r="AM156" s="127" t="s">
        <v>118</v>
      </c>
      <c r="AN156" s="127">
        <v>807574.26252611505</v>
      </c>
      <c r="AW156" s="127"/>
      <c r="AY156" s="145"/>
    </row>
    <row r="157" spans="1:52" x14ac:dyDescent="0.2">
      <c r="A157" s="127">
        <v>2013</v>
      </c>
      <c r="B157" s="130">
        <v>12</v>
      </c>
      <c r="C157" s="130">
        <v>-2.5096774193548392</v>
      </c>
      <c r="D157" s="141">
        <v>697.8</v>
      </c>
      <c r="E157" s="131">
        <v>0</v>
      </c>
      <c r="F157" s="131">
        <v>635.79999999999995</v>
      </c>
      <c r="G157" s="131">
        <v>0</v>
      </c>
      <c r="H157" s="131">
        <v>573.79999999999995</v>
      </c>
      <c r="I157" s="131">
        <v>0</v>
      </c>
      <c r="J157" s="131">
        <v>511.7999999999999</v>
      </c>
      <c r="K157" s="131">
        <v>0</v>
      </c>
      <c r="L157" s="131">
        <v>449.7999999999999</v>
      </c>
      <c r="M157" s="131">
        <v>0</v>
      </c>
      <c r="N157" s="131">
        <v>388.09999999999997</v>
      </c>
      <c r="O157" s="131">
        <v>0.30000000000000071</v>
      </c>
      <c r="P157" s="131">
        <v>329.09999999999991</v>
      </c>
      <c r="Q157" s="131">
        <v>3.3000000000000007</v>
      </c>
      <c r="R157" s="145">
        <f>Purchases!D97</f>
        <v>22361725</v>
      </c>
      <c r="S157" s="128">
        <f ca="1">Data!G37</f>
        <v>22555711.600475274</v>
      </c>
      <c r="T157" s="127">
        <f ca="1">Data!I37</f>
        <v>17800514.861575276</v>
      </c>
      <c r="U157" s="129">
        <f t="shared" si="91"/>
        <v>16789858.227661099</v>
      </c>
      <c r="V157" s="145">
        <f t="shared" si="92"/>
        <v>22236792.527000178</v>
      </c>
      <c r="W157" s="145">
        <f t="shared" si="93"/>
        <v>22078711.510949541</v>
      </c>
      <c r="X157" s="129">
        <f t="shared" si="94"/>
        <v>22240965.754020091</v>
      </c>
      <c r="Y157" s="129"/>
      <c r="Z157" s="144"/>
      <c r="AA157" s="128"/>
      <c r="AB157" s="128"/>
      <c r="AK157" s="127" t="s">
        <v>119</v>
      </c>
      <c r="AL157" s="127">
        <v>0.91043441381698798</v>
      </c>
      <c r="AM157" s="127" t="s">
        <v>120</v>
      </c>
      <c r="AN157" s="127">
        <v>0.90890337815573996</v>
      </c>
      <c r="AW157" s="127"/>
      <c r="AY157" s="145"/>
    </row>
    <row r="158" spans="1:52" x14ac:dyDescent="0.2">
      <c r="A158" s="127">
        <v>2014</v>
      </c>
      <c r="B158" s="130">
        <v>1</v>
      </c>
      <c r="C158" s="130">
        <v>-8.1193548387096772</v>
      </c>
      <c r="D158" s="141">
        <v>871.69999999999993</v>
      </c>
      <c r="E158" s="131">
        <v>0</v>
      </c>
      <c r="F158" s="131">
        <v>809.69999999999993</v>
      </c>
      <c r="G158" s="131">
        <v>0</v>
      </c>
      <c r="H158" s="131">
        <v>747.69999999999982</v>
      </c>
      <c r="I158" s="131">
        <v>0</v>
      </c>
      <c r="J158" s="131">
        <v>685.69999999999982</v>
      </c>
      <c r="K158" s="131">
        <v>0</v>
      </c>
      <c r="L158" s="131">
        <v>623.69999999999993</v>
      </c>
      <c r="M158" s="131">
        <v>0</v>
      </c>
      <c r="N158" s="131">
        <v>561.70000000000005</v>
      </c>
      <c r="O158" s="131">
        <v>0</v>
      </c>
      <c r="P158" s="131">
        <v>499.7</v>
      </c>
      <c r="Q158" s="131">
        <v>0</v>
      </c>
      <c r="R158" s="145">
        <f>Purchases!D98</f>
        <v>24264791.666666668</v>
      </c>
      <c r="S158" s="128">
        <f ca="1">Data!G38</f>
        <v>24468652.183253035</v>
      </c>
      <c r="T158" s="127">
        <f ca="1">Data!I38</f>
        <v>18616986.010053035</v>
      </c>
      <c r="U158" s="129">
        <f t="shared" si="91"/>
        <v>18353812.312656499</v>
      </c>
      <c r="V158" s="145">
        <f t="shared" si="92"/>
        <v>24284846.226875886</v>
      </c>
      <c r="W158" s="145">
        <f t="shared" si="93"/>
        <v>23760152.527290192</v>
      </c>
      <c r="X158" s="129">
        <f t="shared" si="94"/>
        <v>24245642.595738523</v>
      </c>
      <c r="Y158" s="129"/>
      <c r="Z158" s="144"/>
      <c r="AA158" s="128"/>
      <c r="AB158" s="128"/>
      <c r="AK158" s="127" t="s">
        <v>121</v>
      </c>
      <c r="AL158" s="127">
        <v>519.13500676104104</v>
      </c>
      <c r="AM158" s="127" t="s">
        <v>122</v>
      </c>
      <c r="AN158" s="143">
        <v>6.6357209344293599E-59</v>
      </c>
      <c r="AW158" s="127"/>
      <c r="AY158" s="145"/>
    </row>
    <row r="159" spans="1:52" x14ac:dyDescent="0.2">
      <c r="A159" s="127">
        <v>2014</v>
      </c>
      <c r="B159" s="130">
        <v>2</v>
      </c>
      <c r="C159" s="130">
        <v>-7.1821428571428569</v>
      </c>
      <c r="D159" s="141">
        <v>761.10000000000014</v>
      </c>
      <c r="E159" s="131">
        <v>0</v>
      </c>
      <c r="F159" s="131">
        <v>705.10000000000014</v>
      </c>
      <c r="G159" s="131">
        <v>0</v>
      </c>
      <c r="H159" s="131">
        <v>649.1</v>
      </c>
      <c r="I159" s="131">
        <v>0</v>
      </c>
      <c r="J159" s="131">
        <v>593.1</v>
      </c>
      <c r="K159" s="131">
        <v>0</v>
      </c>
      <c r="L159" s="131">
        <v>537.09999999999991</v>
      </c>
      <c r="M159" s="131">
        <v>0</v>
      </c>
      <c r="N159" s="131">
        <v>481.09999999999985</v>
      </c>
      <c r="O159" s="131">
        <v>0</v>
      </c>
      <c r="P159" s="131">
        <v>425.09999999999985</v>
      </c>
      <c r="Q159" s="131">
        <v>0</v>
      </c>
      <c r="R159" s="145">
        <f>Purchases!D99</f>
        <v>20828400.000000004</v>
      </c>
      <c r="S159" s="128">
        <f ca="1">Data!G39</f>
        <v>21037954.417118702</v>
      </c>
      <c r="T159" s="127">
        <f ca="1">Data!I39</f>
        <v>14582075.184918702</v>
      </c>
      <c r="U159" s="129">
        <f t="shared" si="91"/>
        <v>17467062.037897751</v>
      </c>
      <c r="V159" s="145">
        <f t="shared" si="92"/>
        <v>23123615.089396045</v>
      </c>
      <c r="W159" s="145">
        <f t="shared" si="93"/>
        <v>22748773.974620659</v>
      </c>
      <c r="X159" s="129">
        <f t="shared" si="94"/>
        <v>23039839.274037845</v>
      </c>
      <c r="Y159" s="129"/>
      <c r="Z159" s="144"/>
      <c r="AA159" s="128"/>
      <c r="AB159" s="128"/>
      <c r="AK159" s="127" t="s">
        <v>123</v>
      </c>
      <c r="AL159" s="127">
        <v>3.0890486067717202E-3</v>
      </c>
      <c r="AM159" s="127" t="s">
        <v>124</v>
      </c>
      <c r="AN159" s="127">
        <v>1.9918836494460901</v>
      </c>
      <c r="AW159" s="127"/>
      <c r="AY159" s="145"/>
    </row>
    <row r="160" spans="1:52" x14ac:dyDescent="0.2">
      <c r="A160" s="127">
        <v>2014</v>
      </c>
      <c r="B160" s="130">
        <v>3</v>
      </c>
      <c r="C160" s="130">
        <v>-2.5516129032258057</v>
      </c>
      <c r="D160" s="141">
        <v>699.1</v>
      </c>
      <c r="E160" s="131">
        <v>0</v>
      </c>
      <c r="F160" s="131">
        <v>637.10000000000014</v>
      </c>
      <c r="G160" s="131">
        <v>0</v>
      </c>
      <c r="H160" s="131">
        <v>575.1</v>
      </c>
      <c r="I160" s="131">
        <v>0</v>
      </c>
      <c r="J160" s="131">
        <v>513.10000000000014</v>
      </c>
      <c r="K160" s="131">
        <v>0</v>
      </c>
      <c r="L160" s="131">
        <v>451.10000000000008</v>
      </c>
      <c r="M160" s="131">
        <v>0</v>
      </c>
      <c r="N160" s="131">
        <v>389.10000000000008</v>
      </c>
      <c r="O160" s="131">
        <v>0</v>
      </c>
      <c r="P160" s="131">
        <v>327.10000000000008</v>
      </c>
      <c r="Q160" s="131">
        <v>0</v>
      </c>
      <c r="R160" s="145">
        <f>Purchases!D100</f>
        <v>21052908.333333336</v>
      </c>
      <c r="S160" s="128">
        <f ca="1">Data!G40</f>
        <v>21268156.650984365</v>
      </c>
      <c r="T160" s="127">
        <f ca="1">Data!I40</f>
        <v>15891102.014384367</v>
      </c>
      <c r="U160" s="129">
        <f t="shared" si="91"/>
        <v>16801549.661303964</v>
      </c>
      <c r="V160" s="145">
        <f t="shared" si="92"/>
        <v>22252102.876682974</v>
      </c>
      <c r="W160" s="145">
        <f t="shared" si="93"/>
        <v>22091281.225275263</v>
      </c>
      <c r="X160" s="129">
        <f t="shared" si="94"/>
        <v>22255951.83736819</v>
      </c>
      <c r="Y160" s="129"/>
      <c r="Z160" s="144"/>
      <c r="AA160" s="128"/>
      <c r="AB160" s="128"/>
      <c r="AW160" s="127"/>
      <c r="AY160" s="145"/>
    </row>
    <row r="161" spans="1:51" x14ac:dyDescent="0.2">
      <c r="A161" s="127">
        <v>2014</v>
      </c>
      <c r="B161" s="130">
        <v>4</v>
      </c>
      <c r="C161" s="130">
        <v>8.5533333333333346</v>
      </c>
      <c r="D161" s="141">
        <v>343.40000000000003</v>
      </c>
      <c r="E161" s="131">
        <v>0</v>
      </c>
      <c r="F161" s="131">
        <v>283.40000000000003</v>
      </c>
      <c r="G161" s="131">
        <v>0</v>
      </c>
      <c r="H161" s="131">
        <v>223.7</v>
      </c>
      <c r="I161" s="131">
        <v>0.30000000000000071</v>
      </c>
      <c r="J161" s="131">
        <v>167.99999999999997</v>
      </c>
      <c r="K161" s="131">
        <v>4.6000000000000014</v>
      </c>
      <c r="L161" s="131">
        <v>118.2</v>
      </c>
      <c r="M161" s="131">
        <v>14.800000000000002</v>
      </c>
      <c r="N161" s="131">
        <v>74.600000000000009</v>
      </c>
      <c r="O161" s="131">
        <v>31.200000000000003</v>
      </c>
      <c r="P161" s="131">
        <v>40.4</v>
      </c>
      <c r="Q161" s="131">
        <v>57.000000000000007</v>
      </c>
      <c r="R161" s="145">
        <f>Purchases!D101</f>
        <v>17638016.666666668</v>
      </c>
      <c r="S161" s="128">
        <f ca="1">Data!G41</f>
        <v>17858958.884850029</v>
      </c>
      <c r="T161" s="127">
        <f ca="1">Data!I41</f>
        <v>12507089.81865003</v>
      </c>
      <c r="U161" s="129">
        <f t="shared" si="91"/>
        <v>13641265.213532928</v>
      </c>
      <c r="V161" s="145">
        <f t="shared" si="92"/>
        <v>18127376.903248757</v>
      </c>
      <c r="W161" s="145">
        <f t="shared" si="93"/>
        <v>18671352.027577229</v>
      </c>
      <c r="X161" s="129">
        <f t="shared" si="94"/>
        <v>18193155.06572767</v>
      </c>
      <c r="Y161" s="129"/>
      <c r="Z161" s="144"/>
      <c r="AA161" s="128"/>
      <c r="AB161" s="128"/>
      <c r="AK161" s="127" t="s">
        <v>201</v>
      </c>
      <c r="AW161" s="127"/>
      <c r="AY161" s="145"/>
    </row>
    <row r="162" spans="1:51" x14ac:dyDescent="0.2">
      <c r="A162" s="127">
        <v>2014</v>
      </c>
      <c r="B162" s="130">
        <v>5</v>
      </c>
      <c r="C162" s="130">
        <v>15.525806451612905</v>
      </c>
      <c r="D162" s="141">
        <v>149</v>
      </c>
      <c r="E162" s="131">
        <v>10.299999999999997</v>
      </c>
      <c r="F162" s="131">
        <v>103.4</v>
      </c>
      <c r="G162" s="131">
        <v>26.7</v>
      </c>
      <c r="H162" s="131">
        <v>67.800000000000011</v>
      </c>
      <c r="I162" s="131">
        <v>53.099999999999994</v>
      </c>
      <c r="J162" s="131">
        <v>41.5</v>
      </c>
      <c r="K162" s="131">
        <v>88.8</v>
      </c>
      <c r="L162" s="131">
        <v>19.400000000000002</v>
      </c>
      <c r="M162" s="131">
        <v>128.69999999999999</v>
      </c>
      <c r="N162" s="131">
        <v>5.2999999999999989</v>
      </c>
      <c r="O162" s="131">
        <v>176.6</v>
      </c>
      <c r="P162" s="131">
        <v>0.5</v>
      </c>
      <c r="Q162" s="131">
        <v>233.79999999999998</v>
      </c>
      <c r="R162" s="145">
        <f>Purchases!D102</f>
        <v>18077492.307692308</v>
      </c>
      <c r="S162" s="128">
        <f ca="1">Data!G42</f>
        <v>18304128.426408004</v>
      </c>
      <c r="T162" s="127">
        <f ca="1">Data!I42</f>
        <v>13771426.307268005</v>
      </c>
      <c r="U162" s="129">
        <f t="shared" si="91"/>
        <v>13679590.813023753</v>
      </c>
      <c r="V162" s="145">
        <f t="shared" si="92"/>
        <v>18716472.583900515</v>
      </c>
      <c r="W162" s="145">
        <f t="shared" si="93"/>
        <v>18553327.315166268</v>
      </c>
      <c r="X162" s="129">
        <f t="shared" si="94"/>
        <v>18682597.654196482</v>
      </c>
      <c r="Y162" s="129"/>
      <c r="Z162" s="144"/>
      <c r="AA162" s="128"/>
      <c r="AB162" s="128"/>
      <c r="AK162" s="127" t="s">
        <v>200</v>
      </c>
      <c r="AW162" s="127"/>
      <c r="AY162" s="145"/>
    </row>
    <row r="163" spans="1:51" x14ac:dyDescent="0.2">
      <c r="A163" s="127">
        <v>2014</v>
      </c>
      <c r="B163" s="130">
        <v>6</v>
      </c>
      <c r="C163" s="130">
        <v>21.35</v>
      </c>
      <c r="D163" s="141">
        <v>19.499999999999996</v>
      </c>
      <c r="E163" s="131">
        <v>59.999999999999986</v>
      </c>
      <c r="F163" s="131">
        <v>4.9999999999999964</v>
      </c>
      <c r="G163" s="131">
        <v>105.49999999999999</v>
      </c>
      <c r="H163" s="131">
        <v>0</v>
      </c>
      <c r="I163" s="131">
        <v>160.5</v>
      </c>
      <c r="J163" s="131">
        <v>0</v>
      </c>
      <c r="K163" s="131">
        <v>220.5</v>
      </c>
      <c r="L163" s="131">
        <v>0</v>
      </c>
      <c r="M163" s="131">
        <v>280.50000000000006</v>
      </c>
      <c r="N163" s="131">
        <v>0</v>
      </c>
      <c r="O163" s="131">
        <v>340.5</v>
      </c>
      <c r="P163" s="131">
        <v>0</v>
      </c>
      <c r="Q163" s="131">
        <v>400.49999999999994</v>
      </c>
      <c r="R163" s="145">
        <f>Purchases!D103</f>
        <v>21714569.230769232</v>
      </c>
      <c r="S163" s="128">
        <f ca="1">Data!G43</f>
        <v>21946899.250017259</v>
      </c>
      <c r="T163" s="127">
        <f ca="1">Data!I43</f>
        <v>17177291.00827726</v>
      </c>
      <c r="U163" s="129">
        <f t="shared" si="91"/>
        <v>17320900.716031536</v>
      </c>
      <c r="V163" s="145">
        <f t="shared" si="92"/>
        <v>22850974.715223312</v>
      </c>
      <c r="W163" s="145">
        <f t="shared" si="93"/>
        <v>22390095.318708904</v>
      </c>
      <c r="X163" s="129">
        <f t="shared" si="94"/>
        <v>22764567.959131118</v>
      </c>
      <c r="Y163" s="129"/>
      <c r="Z163" s="144"/>
      <c r="AA163" s="128"/>
      <c r="AB163" s="128"/>
      <c r="AK163" s="127" t="s">
        <v>202</v>
      </c>
      <c r="AW163" s="127"/>
      <c r="AY163" s="145"/>
    </row>
    <row r="164" spans="1:51" x14ac:dyDescent="0.2">
      <c r="A164" s="127">
        <v>2014</v>
      </c>
      <c r="B164" s="130">
        <v>7</v>
      </c>
      <c r="C164" s="130">
        <v>20.583870967741937</v>
      </c>
      <c r="D164" s="141">
        <v>24.3</v>
      </c>
      <c r="E164" s="131">
        <v>42.400000000000006</v>
      </c>
      <c r="F164" s="131">
        <v>4.4000000000000021</v>
      </c>
      <c r="G164" s="131">
        <v>84.5</v>
      </c>
      <c r="H164" s="131">
        <v>0</v>
      </c>
      <c r="I164" s="131">
        <v>142.1</v>
      </c>
      <c r="J164" s="131">
        <v>0</v>
      </c>
      <c r="K164" s="131">
        <v>204.1</v>
      </c>
      <c r="L164" s="131">
        <v>0</v>
      </c>
      <c r="M164" s="131">
        <v>266.09999999999997</v>
      </c>
      <c r="N164" s="131">
        <v>0</v>
      </c>
      <c r="O164" s="131">
        <v>328.09999999999997</v>
      </c>
      <c r="P164" s="131">
        <v>0</v>
      </c>
      <c r="Q164" s="131">
        <v>390.09999999999997</v>
      </c>
      <c r="R164" s="145">
        <f>Purchases!D104</f>
        <v>22619392.307692308</v>
      </c>
      <c r="S164" s="128">
        <f ca="1">Data!G44</f>
        <v>22857416.227472667</v>
      </c>
      <c r="T164" s="127">
        <f ca="1">Data!I44</f>
        <v>17357691.137792669</v>
      </c>
      <c r="U164" s="129">
        <f t="shared" si="91"/>
        <v>16188003.180178139</v>
      </c>
      <c r="V164" s="145">
        <f t="shared" si="92"/>
        <v>22005843.226772342</v>
      </c>
      <c r="W164" s="145">
        <f t="shared" si="93"/>
        <v>21108251.114563029</v>
      </c>
      <c r="X164" s="129">
        <f t="shared" si="94"/>
        <v>21863983.258001499</v>
      </c>
      <c r="Y164" s="129"/>
      <c r="Z164" s="144"/>
      <c r="AA164" s="128"/>
      <c r="AB164" s="128"/>
      <c r="AW164" s="127"/>
      <c r="AY164" s="145"/>
    </row>
    <row r="165" spans="1:51" x14ac:dyDescent="0.2">
      <c r="A165" s="127">
        <v>2014</v>
      </c>
      <c r="B165" s="130">
        <v>8</v>
      </c>
      <c r="C165" s="130">
        <v>20.967741935483868</v>
      </c>
      <c r="D165" s="141">
        <v>13.500000000000004</v>
      </c>
      <c r="E165" s="131">
        <v>43.500000000000007</v>
      </c>
      <c r="F165" s="131">
        <v>3.8000000000000007</v>
      </c>
      <c r="G165" s="131">
        <v>95.799999999999983</v>
      </c>
      <c r="H165" s="131">
        <v>0</v>
      </c>
      <c r="I165" s="131">
        <v>154</v>
      </c>
      <c r="J165" s="131">
        <v>0</v>
      </c>
      <c r="K165" s="131">
        <v>216.00000000000003</v>
      </c>
      <c r="L165" s="131">
        <v>0</v>
      </c>
      <c r="M165" s="131">
        <v>278.00000000000006</v>
      </c>
      <c r="N165" s="131">
        <v>0</v>
      </c>
      <c r="O165" s="131">
        <v>340</v>
      </c>
      <c r="P165" s="131">
        <v>0</v>
      </c>
      <c r="Q165" s="131">
        <v>401.99999999999994</v>
      </c>
      <c r="R165" s="145">
        <f>Purchases!D105</f>
        <v>23222976.923076924</v>
      </c>
      <c r="S165" s="128">
        <f ca="1">Data!G45</f>
        <v>23466694.743389614</v>
      </c>
      <c r="T165" s="127">
        <f ca="1">Data!I45</f>
        <v>17690439.324769616</v>
      </c>
      <c r="U165" s="129">
        <f t="shared" si="91"/>
        <v>16797609.94947068</v>
      </c>
      <c r="V165" s="145">
        <f t="shared" si="92"/>
        <v>22552422.830716178</v>
      </c>
      <c r="W165" s="145">
        <f t="shared" si="93"/>
        <v>21789082.26090993</v>
      </c>
      <c r="X165" s="129">
        <f t="shared" si="94"/>
        <v>22435036.699941583</v>
      </c>
      <c r="Y165" s="129"/>
      <c r="Z165" s="144"/>
      <c r="AA165" s="128"/>
      <c r="AB165" s="128"/>
      <c r="AL165" s="127" t="s">
        <v>107</v>
      </c>
      <c r="AM165" s="127" t="s">
        <v>108</v>
      </c>
      <c r="AN165" s="127" t="s">
        <v>109</v>
      </c>
      <c r="AO165" s="127" t="s">
        <v>110</v>
      </c>
      <c r="AW165" s="127"/>
      <c r="AY165" s="145"/>
    </row>
    <row r="166" spans="1:51" x14ac:dyDescent="0.2">
      <c r="A166" s="127">
        <v>2014</v>
      </c>
      <c r="B166" s="130">
        <v>9</v>
      </c>
      <c r="C166" s="130">
        <v>16.433333333333334</v>
      </c>
      <c r="D166" s="141">
        <v>122.29999999999998</v>
      </c>
      <c r="E166" s="131">
        <v>15.299999999999997</v>
      </c>
      <c r="F166" s="131">
        <v>76.799999999999983</v>
      </c>
      <c r="G166" s="131">
        <v>29.799999999999997</v>
      </c>
      <c r="H166" s="131">
        <v>41.7</v>
      </c>
      <c r="I166" s="131">
        <v>54.7</v>
      </c>
      <c r="J166" s="131">
        <v>19.5</v>
      </c>
      <c r="K166" s="131">
        <v>92.5</v>
      </c>
      <c r="L166" s="131">
        <v>5.6000000000000014</v>
      </c>
      <c r="M166" s="131">
        <v>138.6</v>
      </c>
      <c r="N166" s="131">
        <v>0.30000000000000071</v>
      </c>
      <c r="O166" s="131">
        <v>193.3</v>
      </c>
      <c r="P166" s="131">
        <v>0</v>
      </c>
      <c r="Q166" s="131">
        <v>252.99999999999994</v>
      </c>
      <c r="R166" s="145">
        <f>Purchases!D106</f>
        <v>19789369.230769232</v>
      </c>
      <c r="S166" s="128">
        <f ca="1">Data!G46</f>
        <v>20038780.951614253</v>
      </c>
      <c r="T166" s="127">
        <f ca="1">Data!I46</f>
        <v>14096469.177344253</v>
      </c>
      <c r="U166" s="129">
        <f t="shared" si="91"/>
        <v>13612100.054409672</v>
      </c>
      <c r="V166" s="145">
        <f t="shared" si="92"/>
        <v>18482577.565686114</v>
      </c>
      <c r="W166" s="145">
        <f t="shared" si="93"/>
        <v>18484499.844533097</v>
      </c>
      <c r="X166" s="129">
        <f t="shared" si="94"/>
        <v>18453669.598362166</v>
      </c>
      <c r="Y166" s="129"/>
      <c r="Z166" s="144"/>
      <c r="AA166" s="128"/>
      <c r="AB166" s="128"/>
      <c r="AK166" s="127" t="s">
        <v>111</v>
      </c>
      <c r="AL166" s="127">
        <v>11629439.285910901</v>
      </c>
      <c r="AM166" s="127">
        <v>250455.95418572199</v>
      </c>
      <c r="AN166" s="127">
        <v>46.433071729998602</v>
      </c>
      <c r="AO166" s="143">
        <v>3.20380033205287E-77</v>
      </c>
      <c r="AW166" s="127"/>
      <c r="AY166" s="145"/>
    </row>
    <row r="167" spans="1:51" x14ac:dyDescent="0.2">
      <c r="A167" s="127">
        <v>2014</v>
      </c>
      <c r="B167" s="130">
        <v>10</v>
      </c>
      <c r="C167" s="130">
        <v>10.929032258064517</v>
      </c>
      <c r="D167" s="141">
        <v>281.2</v>
      </c>
      <c r="E167" s="131">
        <v>0</v>
      </c>
      <c r="F167" s="131">
        <v>219.2</v>
      </c>
      <c r="G167" s="131">
        <v>0</v>
      </c>
      <c r="H167" s="131">
        <v>159.9</v>
      </c>
      <c r="I167" s="131">
        <v>2.6999999999999993</v>
      </c>
      <c r="J167" s="131">
        <v>107.70000000000003</v>
      </c>
      <c r="K167" s="131">
        <v>12.499999999999998</v>
      </c>
      <c r="L167" s="131">
        <v>65.399999999999991</v>
      </c>
      <c r="M167" s="131">
        <v>32.199999999999996</v>
      </c>
      <c r="N167" s="131">
        <v>29.6</v>
      </c>
      <c r="O167" s="131">
        <v>58.400000000000006</v>
      </c>
      <c r="P167" s="131">
        <v>7.5</v>
      </c>
      <c r="Q167" s="131">
        <v>98.299999999999983</v>
      </c>
      <c r="R167" s="145">
        <f>Purchases!D107</f>
        <v>18224553.846153844</v>
      </c>
      <c r="S167" s="128">
        <f ca="1">Data!G47</f>
        <v>18479659.4675312</v>
      </c>
      <c r="T167" s="127">
        <f ca="1">Data!I47</f>
        <v>13541780.452451201</v>
      </c>
      <c r="U167" s="129">
        <f t="shared" si="91"/>
        <v>13067485.62398315</v>
      </c>
      <c r="V167" s="145">
        <f t="shared" si="92"/>
        <v>17486226.591557197</v>
      </c>
      <c r="W167" s="145">
        <f t="shared" si="93"/>
        <v>18050601.52010702</v>
      </c>
      <c r="X167" s="129">
        <f t="shared" si="94"/>
        <v>17569638.50093101</v>
      </c>
      <c r="Y167" s="129"/>
      <c r="Z167" s="144"/>
      <c r="AA167" s="128"/>
      <c r="AB167" s="128"/>
      <c r="AK167" s="127" t="s">
        <v>93</v>
      </c>
      <c r="AL167" s="127">
        <v>8993.4104945106301</v>
      </c>
      <c r="AM167" s="127">
        <v>613.55286249698804</v>
      </c>
      <c r="AN167" s="127">
        <v>14.657922803766199</v>
      </c>
      <c r="AO167" s="143">
        <v>2.9701035761652499E-28</v>
      </c>
      <c r="AW167" s="127"/>
      <c r="AY167" s="145"/>
    </row>
    <row r="168" spans="1:51" x14ac:dyDescent="0.2">
      <c r="A168" s="127">
        <v>2014</v>
      </c>
      <c r="B168" s="130">
        <v>11</v>
      </c>
      <c r="C168" s="130">
        <v>2.023333333333333</v>
      </c>
      <c r="D168" s="141">
        <v>539.30000000000007</v>
      </c>
      <c r="E168" s="131">
        <v>0</v>
      </c>
      <c r="F168" s="131">
        <v>479.30000000000013</v>
      </c>
      <c r="G168" s="131">
        <v>0</v>
      </c>
      <c r="H168" s="131">
        <v>419.30000000000007</v>
      </c>
      <c r="I168" s="131">
        <v>0</v>
      </c>
      <c r="J168" s="131">
        <v>359.30000000000007</v>
      </c>
      <c r="K168" s="131">
        <v>0</v>
      </c>
      <c r="L168" s="131">
        <v>299.3</v>
      </c>
      <c r="M168" s="131">
        <v>0</v>
      </c>
      <c r="N168" s="131">
        <v>239.9</v>
      </c>
      <c r="O168" s="131">
        <v>0.59999999999999964</v>
      </c>
      <c r="P168" s="131">
        <v>189.4</v>
      </c>
      <c r="Q168" s="131">
        <v>10.099999999999998</v>
      </c>
      <c r="R168" s="145">
        <f>Purchases!D108</f>
        <v>20282892.307692308</v>
      </c>
      <c r="S168" s="128">
        <f ca="1">Data!G48</f>
        <v>20543691.829601996</v>
      </c>
      <c r="T168" s="127">
        <f ca="1">Data!I48</f>
        <v>15780684.681931995</v>
      </c>
      <c r="U168" s="129">
        <f t="shared" si="91"/>
        <v>15400376.306259207</v>
      </c>
      <c r="V168" s="145">
        <f t="shared" si="92"/>
        <v>20417216.353160061</v>
      </c>
      <c r="W168" s="145">
        <f t="shared" si="93"/>
        <v>20565511.286353156</v>
      </c>
      <c r="X168" s="129">
        <f t="shared" si="94"/>
        <v>20436871.87403772</v>
      </c>
      <c r="Y168" s="129"/>
      <c r="Z168" s="144"/>
      <c r="AA168" s="128"/>
      <c r="AB168" s="128"/>
      <c r="AK168" s="127" t="s">
        <v>92</v>
      </c>
      <c r="AL168" s="127">
        <v>53947.501707304596</v>
      </c>
      <c r="AM168" s="127">
        <v>2249.2592418971199</v>
      </c>
      <c r="AN168" s="127">
        <v>23.984563763225001</v>
      </c>
      <c r="AO168" s="143">
        <v>5.4894745047276198E-47</v>
      </c>
      <c r="AW168" s="127"/>
      <c r="AY168" s="145"/>
    </row>
    <row r="169" spans="1:51" x14ac:dyDescent="0.2">
      <c r="A169" s="127">
        <v>2014</v>
      </c>
      <c r="B169" s="130">
        <v>12</v>
      </c>
      <c r="C169" s="130">
        <v>0.41290322580645139</v>
      </c>
      <c r="D169" s="141">
        <v>607.20000000000005</v>
      </c>
      <c r="E169" s="131">
        <v>0</v>
      </c>
      <c r="F169" s="131">
        <v>545.20000000000005</v>
      </c>
      <c r="G169" s="131">
        <v>0</v>
      </c>
      <c r="H169" s="131">
        <v>483.2</v>
      </c>
      <c r="I169" s="131">
        <v>0</v>
      </c>
      <c r="J169" s="131">
        <v>421.2</v>
      </c>
      <c r="K169" s="131">
        <v>0</v>
      </c>
      <c r="L169" s="131">
        <v>359.19999999999993</v>
      </c>
      <c r="M169" s="131">
        <v>0</v>
      </c>
      <c r="N169" s="131">
        <v>297.20000000000005</v>
      </c>
      <c r="O169" s="131">
        <v>0</v>
      </c>
      <c r="P169" s="131">
        <v>235.70000000000002</v>
      </c>
      <c r="Q169" s="131">
        <v>0.5</v>
      </c>
      <c r="R169" s="145">
        <f>Purchases!D109</f>
        <v>22057292.307692308</v>
      </c>
      <c r="S169" s="128">
        <f ca="1">Data!G49</f>
        <v>22323785.730134327</v>
      </c>
      <c r="T169" s="127">
        <f ca="1">Data!I49</f>
        <v>16493439.341614328</v>
      </c>
      <c r="U169" s="129">
        <f t="shared" si="91"/>
        <v>15975055.236858437</v>
      </c>
      <c r="V169" s="145">
        <f t="shared" si="92"/>
        <v>21169778.926029857</v>
      </c>
      <c r="W169" s="145">
        <f t="shared" si="93"/>
        <v>21202699.112557001</v>
      </c>
      <c r="X169" s="129">
        <f t="shared" si="94"/>
        <v>21196551.02222199</v>
      </c>
      <c r="Y169" s="129"/>
      <c r="Z169" s="144"/>
      <c r="AA169" s="128"/>
      <c r="AB169" s="128"/>
      <c r="AW169" s="127"/>
      <c r="AY169" s="145"/>
    </row>
    <row r="170" spans="1:51" x14ac:dyDescent="0.2">
      <c r="A170" s="127">
        <v>2015</v>
      </c>
      <c r="B170" s="130">
        <v>1</v>
      </c>
      <c r="C170" s="130">
        <v>-6.7387096774193527</v>
      </c>
      <c r="D170" s="141">
        <v>828.90000000000009</v>
      </c>
      <c r="E170" s="131">
        <v>0</v>
      </c>
      <c r="F170" s="131">
        <v>766.90000000000009</v>
      </c>
      <c r="G170" s="131">
        <v>0</v>
      </c>
      <c r="H170" s="131">
        <v>704.90000000000009</v>
      </c>
      <c r="I170" s="131">
        <v>0</v>
      </c>
      <c r="J170" s="131">
        <v>642.9</v>
      </c>
      <c r="K170" s="131">
        <v>0</v>
      </c>
      <c r="L170" s="131">
        <v>580.89999999999986</v>
      </c>
      <c r="M170" s="131">
        <v>0</v>
      </c>
      <c r="N170" s="131">
        <v>518.9</v>
      </c>
      <c r="O170" s="131">
        <v>0</v>
      </c>
      <c r="P170" s="131">
        <v>456.9</v>
      </c>
      <c r="Q170" s="131">
        <v>0</v>
      </c>
      <c r="R170" s="145">
        <f>Purchases!D110</f>
        <v>24198407.692307692</v>
      </c>
      <c r="S170" s="128">
        <f ca="1">Data!G50</f>
        <v>24490725.048694611</v>
      </c>
      <c r="T170" s="127">
        <f ca="1">Data!I50</f>
        <v>18188422.62169461</v>
      </c>
      <c r="U170" s="129">
        <f t="shared" si="91"/>
        <v>17968894.343491443</v>
      </c>
      <c r="V170" s="145">
        <f t="shared" si="92"/>
        <v>23780782.406549953</v>
      </c>
      <c r="W170" s="145">
        <f t="shared" si="93"/>
        <v>23346318.855643384</v>
      </c>
      <c r="X170" s="129">
        <f t="shared" si="94"/>
        <v>23752254.620893504</v>
      </c>
      <c r="Y170" s="129"/>
      <c r="Z170" s="144"/>
      <c r="AA170" s="128"/>
      <c r="AB170" s="128"/>
      <c r="AK170" s="127" t="s">
        <v>114</v>
      </c>
      <c r="AW170" s="127"/>
      <c r="AY170" s="145"/>
    </row>
    <row r="171" spans="1:51" x14ac:dyDescent="0.2">
      <c r="A171" s="127">
        <v>2015</v>
      </c>
      <c r="B171" s="130">
        <v>2</v>
      </c>
      <c r="C171" s="130">
        <v>-10.967857142857142</v>
      </c>
      <c r="D171" s="141">
        <v>867.10000000000025</v>
      </c>
      <c r="E171" s="131">
        <v>0</v>
      </c>
      <c r="F171" s="131">
        <v>811.10000000000014</v>
      </c>
      <c r="G171" s="131">
        <v>0</v>
      </c>
      <c r="H171" s="131">
        <v>755.10000000000014</v>
      </c>
      <c r="I171" s="131">
        <v>0</v>
      </c>
      <c r="J171" s="131">
        <v>699.10000000000014</v>
      </c>
      <c r="K171" s="131">
        <v>0</v>
      </c>
      <c r="L171" s="131">
        <v>643.10000000000014</v>
      </c>
      <c r="M171" s="131">
        <v>0</v>
      </c>
      <c r="N171" s="131">
        <v>587.1</v>
      </c>
      <c r="O171" s="131">
        <v>0</v>
      </c>
      <c r="P171" s="131">
        <v>531.09999999999991</v>
      </c>
      <c r="Q171" s="131">
        <v>0</v>
      </c>
      <c r="R171" s="145">
        <f>Purchases!D111</f>
        <v>22363023.07692308</v>
      </c>
      <c r="S171" s="128">
        <f ca="1">Data!G51</f>
        <v>22668464.391569141</v>
      </c>
      <c r="T171" s="127">
        <f ca="1">Data!I51</f>
        <v>15632720.079539143</v>
      </c>
      <c r="U171" s="129">
        <f t="shared" si="91"/>
        <v>18420363.550315879</v>
      </c>
      <c r="V171" s="145">
        <f t="shared" si="92"/>
        <v>24371997.448147196</v>
      </c>
      <c r="W171" s="145">
        <f t="shared" si="93"/>
        <v>23773689.14271789</v>
      </c>
      <c r="X171" s="129">
        <f t="shared" si="94"/>
        <v>24261781.454728782</v>
      </c>
      <c r="Y171" s="128"/>
      <c r="Z171" s="128"/>
      <c r="AK171" s="127" t="s">
        <v>115</v>
      </c>
      <c r="AL171" s="127">
        <v>15969019.260885499</v>
      </c>
      <c r="AM171" s="127" t="s">
        <v>116</v>
      </c>
      <c r="AN171" s="127">
        <v>2449093.7144434098</v>
      </c>
    </row>
    <row r="172" spans="1:51" x14ac:dyDescent="0.2">
      <c r="A172" s="127">
        <v>2015</v>
      </c>
      <c r="B172" s="130">
        <v>3</v>
      </c>
      <c r="C172" s="130">
        <v>-0.2354838709677417</v>
      </c>
      <c r="D172" s="141">
        <v>627.29999999999995</v>
      </c>
      <c r="E172" s="131">
        <v>0</v>
      </c>
      <c r="F172" s="131">
        <v>565.29999999999995</v>
      </c>
      <c r="G172" s="131">
        <v>0</v>
      </c>
      <c r="H172" s="131">
        <v>503.3</v>
      </c>
      <c r="I172" s="131">
        <v>0</v>
      </c>
      <c r="J172" s="131">
        <v>441.3</v>
      </c>
      <c r="K172" s="131">
        <v>0</v>
      </c>
      <c r="L172" s="131">
        <v>379.29999999999995</v>
      </c>
      <c r="M172" s="131">
        <v>0</v>
      </c>
      <c r="N172" s="131">
        <v>317.29999999999995</v>
      </c>
      <c r="O172" s="131">
        <v>0</v>
      </c>
      <c r="P172" s="131">
        <v>255.70000000000002</v>
      </c>
      <c r="Q172" s="131">
        <v>0.40000000000000036</v>
      </c>
      <c r="R172" s="145">
        <f>Purchases!D112</f>
        <v>20856446.153846156</v>
      </c>
      <c r="S172" s="128">
        <f ca="1">Data!G52</f>
        <v>21175011.42675136</v>
      </c>
      <c r="T172" s="127">
        <f ca="1">Data!I52</f>
        <v>14602194.93307136</v>
      </c>
      <c r="U172" s="129">
        <f t="shared" si="91"/>
        <v>16155822.787798101</v>
      </c>
      <c r="V172" s="145">
        <f t="shared" si="92"/>
        <v>21406500.486510027</v>
      </c>
      <c r="W172" s="145">
        <f t="shared" si="93"/>
        <v>21397046.234054685</v>
      </c>
      <c r="X172" s="129">
        <f t="shared" si="94"/>
        <v>21428258.926296402</v>
      </c>
      <c r="Y172" s="128"/>
      <c r="Z172" s="128"/>
      <c r="AK172" s="127" t="s">
        <v>117</v>
      </c>
      <c r="AL172" s="127">
        <v>104051623281162</v>
      </c>
      <c r="AM172" s="127" t="s">
        <v>118</v>
      </c>
      <c r="AN172" s="127">
        <v>943043.007245271</v>
      </c>
    </row>
    <row r="173" spans="1:51" x14ac:dyDescent="0.2">
      <c r="A173" s="127">
        <v>2015</v>
      </c>
      <c r="B173" s="130">
        <v>4</v>
      </c>
      <c r="C173" s="130">
        <v>8.5599999999999987</v>
      </c>
      <c r="D173" s="141">
        <v>343.20000000000005</v>
      </c>
      <c r="E173" s="131">
        <v>0</v>
      </c>
      <c r="F173" s="131">
        <v>283.2</v>
      </c>
      <c r="G173" s="131">
        <v>0</v>
      </c>
      <c r="H173" s="131">
        <v>223.19999999999996</v>
      </c>
      <c r="I173" s="131">
        <v>0</v>
      </c>
      <c r="J173" s="131">
        <v>164.10000000000002</v>
      </c>
      <c r="K173" s="131">
        <v>0.90000000000000036</v>
      </c>
      <c r="L173" s="131">
        <v>110.19999999999997</v>
      </c>
      <c r="M173" s="131">
        <v>7</v>
      </c>
      <c r="N173" s="131">
        <v>62</v>
      </c>
      <c r="O173" s="131">
        <v>18.8</v>
      </c>
      <c r="P173" s="131">
        <v>29.799999999999997</v>
      </c>
      <c r="Q173" s="131">
        <v>46.599999999999994</v>
      </c>
      <c r="R173" s="145">
        <f>Purchases!D113</f>
        <v>17544146.153846156</v>
      </c>
      <c r="S173" s="128">
        <f ca="1">Data!G53</f>
        <v>17875835.385010503</v>
      </c>
      <c r="T173" s="127">
        <f ca="1">Data!I53</f>
        <v>12099141.437120503</v>
      </c>
      <c r="U173" s="129">
        <f t="shared" si="91"/>
        <v>13636768.508285673</v>
      </c>
      <c r="V173" s="145">
        <f t="shared" si="92"/>
        <v>18107708.98947043</v>
      </c>
      <c r="W173" s="145">
        <f t="shared" si="93"/>
        <v>18669418.225373272</v>
      </c>
      <c r="X173" s="129">
        <f t="shared" si="94"/>
        <v>18176278.839759488</v>
      </c>
      <c r="Y173" s="128"/>
      <c r="Z173" s="128"/>
      <c r="AK173" s="127" t="s">
        <v>119</v>
      </c>
      <c r="AL173" s="127">
        <v>0.85686486726393696</v>
      </c>
      <c r="AM173" s="127" t="s">
        <v>120</v>
      </c>
      <c r="AN173" s="127">
        <v>0.85441811285819202</v>
      </c>
    </row>
    <row r="174" spans="1:51" x14ac:dyDescent="0.2">
      <c r="A174" s="127">
        <v>2015</v>
      </c>
      <c r="B174" s="130">
        <v>5</v>
      </c>
      <c r="C174" s="130">
        <v>16.758064516129032</v>
      </c>
      <c r="D174" s="141">
        <v>118.3</v>
      </c>
      <c r="E174" s="131">
        <v>17.799999999999997</v>
      </c>
      <c r="F174" s="131">
        <v>79.599999999999994</v>
      </c>
      <c r="G174" s="131">
        <v>41.099999999999994</v>
      </c>
      <c r="H174" s="131">
        <v>50.9</v>
      </c>
      <c r="I174" s="131">
        <v>74.399999999999991</v>
      </c>
      <c r="J174" s="131">
        <v>27.5</v>
      </c>
      <c r="K174" s="131">
        <v>112.99999999999999</v>
      </c>
      <c r="L174" s="131">
        <v>12.199999999999998</v>
      </c>
      <c r="M174" s="131">
        <v>159.69999999999999</v>
      </c>
      <c r="N174" s="131">
        <v>2.6999999999999975</v>
      </c>
      <c r="O174" s="131">
        <v>212.20000000000002</v>
      </c>
      <c r="P174" s="131">
        <v>0</v>
      </c>
      <c r="Q174" s="131">
        <v>271.5</v>
      </c>
      <c r="R174" s="145">
        <f>Purchases!D114</f>
        <v>17949553.846153844</v>
      </c>
      <c r="S174" s="128">
        <f ca="1">Data!G54</f>
        <v>18294367.035577338</v>
      </c>
      <c r="T174" s="127">
        <f ca="1">Data!I54</f>
        <v>13658601.090047337</v>
      </c>
      <c r="U174" s="129">
        <f t="shared" si="91"/>
        <v>14304446.20025171</v>
      </c>
      <c r="V174" s="145">
        <f t="shared" si="92"/>
        <v>19495769.598024458</v>
      </c>
      <c r="W174" s="145">
        <f t="shared" si="93"/>
        <v>19198205.628347266</v>
      </c>
      <c r="X174" s="129">
        <f t="shared" si="94"/>
        <v>19442754.95391605</v>
      </c>
      <c r="Y174" s="128"/>
      <c r="Z174" s="128"/>
      <c r="AK174" s="127" t="s">
        <v>121</v>
      </c>
      <c r="AL174" s="127">
        <v>307.59720319542902</v>
      </c>
      <c r="AM174" s="127" t="s">
        <v>122</v>
      </c>
      <c r="AN174" s="143">
        <v>2.5599301580043202E-47</v>
      </c>
    </row>
    <row r="175" spans="1:51" x14ac:dyDescent="0.2">
      <c r="A175" s="127">
        <v>2015</v>
      </c>
      <c r="B175" s="130">
        <v>6</v>
      </c>
      <c r="C175" s="130">
        <v>19.5</v>
      </c>
      <c r="D175" s="141">
        <v>41.29999999999999</v>
      </c>
      <c r="E175" s="131">
        <v>26.300000000000008</v>
      </c>
      <c r="F175" s="131">
        <v>18.900000000000002</v>
      </c>
      <c r="G175" s="131">
        <v>63.900000000000006</v>
      </c>
      <c r="H175" s="131">
        <v>7.9</v>
      </c>
      <c r="I175" s="131">
        <v>112.89999999999998</v>
      </c>
      <c r="J175" s="131">
        <v>2.7000000000000011</v>
      </c>
      <c r="K175" s="131">
        <v>167.7</v>
      </c>
      <c r="L175" s="131">
        <v>0.40000000000000036</v>
      </c>
      <c r="M175" s="131">
        <v>225.4</v>
      </c>
      <c r="N175" s="131">
        <v>0</v>
      </c>
      <c r="O175" s="131">
        <v>285</v>
      </c>
      <c r="P175" s="131">
        <v>0</v>
      </c>
      <c r="Q175" s="131">
        <v>345</v>
      </c>
      <c r="R175" s="145">
        <f>Purchases!D115</f>
        <v>20138192.307692308</v>
      </c>
      <c r="S175" s="128">
        <f ca="1">Data!G55</f>
        <v>20496129.455374945</v>
      </c>
      <c r="T175" s="127">
        <f ca="1">Data!I55</f>
        <v>16020419.720944945</v>
      </c>
      <c r="U175" s="129">
        <f t="shared" si="91"/>
        <v>15147732.587914299</v>
      </c>
      <c r="V175" s="145">
        <f t="shared" si="92"/>
        <v>20757696.116751127</v>
      </c>
      <c r="W175" s="145">
        <f t="shared" si="93"/>
        <v>19996714.553911798</v>
      </c>
      <c r="X175" s="129">
        <f t="shared" si="94"/>
        <v>20612923.390219331</v>
      </c>
      <c r="Y175" s="128"/>
      <c r="Z175" s="128"/>
      <c r="AK175" s="127" t="s">
        <v>123</v>
      </c>
      <c r="AL175" s="127">
        <v>1.5584367040473199E-2</v>
      </c>
      <c r="AM175" s="127" t="s">
        <v>124</v>
      </c>
      <c r="AN175" s="127">
        <v>1.9363894668536901</v>
      </c>
    </row>
    <row r="176" spans="1:51" x14ac:dyDescent="0.2">
      <c r="A176" s="127">
        <v>2015</v>
      </c>
      <c r="B176" s="130">
        <v>7</v>
      </c>
      <c r="C176" s="130">
        <v>21.793548387096774</v>
      </c>
      <c r="D176" s="141">
        <v>15.199999999999996</v>
      </c>
      <c r="E176" s="131">
        <v>70.799999999999983</v>
      </c>
      <c r="F176" s="131">
        <v>2.8999999999999986</v>
      </c>
      <c r="G176" s="131">
        <v>120.49999999999997</v>
      </c>
      <c r="H176" s="131">
        <v>0.19999999999999929</v>
      </c>
      <c r="I176" s="131">
        <v>179.79999999999998</v>
      </c>
      <c r="J176" s="131">
        <v>0</v>
      </c>
      <c r="K176" s="131">
        <v>241.60000000000002</v>
      </c>
      <c r="L176" s="131">
        <v>0</v>
      </c>
      <c r="M176" s="131">
        <v>303.60000000000002</v>
      </c>
      <c r="N176" s="131">
        <v>0</v>
      </c>
      <c r="O176" s="131">
        <v>365.59999999999997</v>
      </c>
      <c r="P176" s="131">
        <v>0</v>
      </c>
      <c r="Q176" s="131">
        <v>427.59999999999997</v>
      </c>
      <c r="R176" s="145">
        <f>Purchases!D116</f>
        <v>23747715.384615384</v>
      </c>
      <c r="S176" s="128">
        <f ca="1">Data!G56</f>
        <v>24118776.490557164</v>
      </c>
      <c r="T176" s="127">
        <f ca="1">Data!I56</f>
        <v>19069218.814167164</v>
      </c>
      <c r="U176" s="129">
        <f t="shared" si="91"/>
        <v>18131911.923740007</v>
      </c>
      <c r="V176" s="145">
        <f t="shared" si="92"/>
        <v>23739799.595326468</v>
      </c>
      <c r="W176" s="145">
        <f t="shared" si="93"/>
        <v>23281249.53666307</v>
      </c>
      <c r="X176" s="129">
        <f t="shared" si="94"/>
        <v>23677739.741973959</v>
      </c>
      <c r="Y176" s="128"/>
      <c r="Z176" s="128"/>
    </row>
    <row r="177" spans="1:26" x14ac:dyDescent="0.2">
      <c r="A177" s="127">
        <v>2015</v>
      </c>
      <c r="B177" s="130">
        <v>8</v>
      </c>
      <c r="C177" s="130">
        <v>21.041935483870965</v>
      </c>
      <c r="D177" s="141">
        <v>21.7</v>
      </c>
      <c r="E177" s="131">
        <v>54</v>
      </c>
      <c r="F177" s="131">
        <v>8.5000000000000018</v>
      </c>
      <c r="G177" s="131">
        <v>102.79999999999997</v>
      </c>
      <c r="H177" s="131">
        <v>2.0999999999999996</v>
      </c>
      <c r="I177" s="131">
        <v>158.4</v>
      </c>
      <c r="J177" s="131">
        <v>0</v>
      </c>
      <c r="K177" s="131">
        <v>218.3</v>
      </c>
      <c r="L177" s="131">
        <v>0</v>
      </c>
      <c r="M177" s="131">
        <v>280.3</v>
      </c>
      <c r="N177" s="131">
        <v>0</v>
      </c>
      <c r="O177" s="131">
        <v>342.30000000000007</v>
      </c>
      <c r="P177" s="131">
        <v>0</v>
      </c>
      <c r="Q177" s="131">
        <v>404.30000000000007</v>
      </c>
      <c r="R177" s="145">
        <f>Purchases!D117</f>
        <v>23252784.615384616</v>
      </c>
      <c r="S177" s="128">
        <f ca="1">Data!G57</f>
        <v>23636969.679585539</v>
      </c>
      <c r="T177" s="127">
        <f ca="1">Data!I57</f>
        <v>17462555.595375538</v>
      </c>
      <c r="U177" s="129">
        <f t="shared" si="91"/>
        <v>17194128.623460285</v>
      </c>
      <c r="V177" s="145">
        <f t="shared" si="92"/>
        <v>22779251.594331678</v>
      </c>
      <c r="W177" s="145">
        <f t="shared" si="93"/>
        <v>22259874.211880922</v>
      </c>
      <c r="X177" s="129">
        <f t="shared" si="94"/>
        <v>22702920.383819755</v>
      </c>
      <c r="Y177" s="128"/>
      <c r="Z177" s="128"/>
    </row>
    <row r="178" spans="1:26" x14ac:dyDescent="0.2">
      <c r="A178" s="127">
        <v>2015</v>
      </c>
      <c r="B178" s="130">
        <v>9</v>
      </c>
      <c r="C178" s="130">
        <v>19.576666666666668</v>
      </c>
      <c r="D178" s="141">
        <v>51.3</v>
      </c>
      <c r="E178" s="131">
        <v>38.599999999999994</v>
      </c>
      <c r="F178" s="131">
        <v>23.099999999999998</v>
      </c>
      <c r="G178" s="131">
        <v>70.400000000000006</v>
      </c>
      <c r="H178" s="131">
        <v>7.2999999999999972</v>
      </c>
      <c r="I178" s="131">
        <v>114.6</v>
      </c>
      <c r="J178" s="131">
        <v>0.19999999999999929</v>
      </c>
      <c r="K178" s="131">
        <v>167.50000000000003</v>
      </c>
      <c r="L178" s="131">
        <v>0</v>
      </c>
      <c r="M178" s="131">
        <v>227.30000000000007</v>
      </c>
      <c r="N178" s="131">
        <v>0</v>
      </c>
      <c r="O178" s="131">
        <v>287.30000000000007</v>
      </c>
      <c r="P178" s="131">
        <v>0</v>
      </c>
      <c r="Q178" s="131">
        <v>347.30000000000013</v>
      </c>
      <c r="R178" s="145">
        <f>Purchases!D118</f>
        <v>21319146.153846156</v>
      </c>
      <c r="S178" s="128">
        <f ca="1">Data!G58</f>
        <v>21716455.176306222</v>
      </c>
      <c r="T178" s="127">
        <f ca="1">Data!I58</f>
        <v>15554290.811136222</v>
      </c>
      <c r="U178" s="129">
        <f t="shared" si="91"/>
        <v>15492995.302715072</v>
      </c>
      <c r="V178" s="145">
        <f t="shared" si="92"/>
        <v>20828712.602076322</v>
      </c>
      <c r="W178" s="145">
        <f t="shared" si="93"/>
        <v>20432290.028003037</v>
      </c>
      <c r="X178" s="129">
        <f t="shared" si="94"/>
        <v>20743907.123731967</v>
      </c>
      <c r="Y178" s="128"/>
      <c r="Z178" s="128"/>
    </row>
    <row r="179" spans="1:26" x14ac:dyDescent="0.2">
      <c r="A179" s="127">
        <v>2015</v>
      </c>
      <c r="B179" s="130">
        <v>10</v>
      </c>
      <c r="C179" s="130">
        <v>11.758064516129032</v>
      </c>
      <c r="D179" s="141">
        <v>255.50000000000003</v>
      </c>
      <c r="E179" s="131">
        <v>0</v>
      </c>
      <c r="F179" s="131">
        <v>194.50000000000003</v>
      </c>
      <c r="G179" s="131">
        <v>1</v>
      </c>
      <c r="H179" s="131">
        <v>138.6</v>
      </c>
      <c r="I179" s="131">
        <v>7.0999999999999979</v>
      </c>
      <c r="J179" s="131">
        <v>92.5</v>
      </c>
      <c r="K179" s="131">
        <v>22.999999999999996</v>
      </c>
      <c r="L179" s="131">
        <v>52.9</v>
      </c>
      <c r="M179" s="131">
        <v>45.4</v>
      </c>
      <c r="N179" s="131">
        <v>23.499999999999996</v>
      </c>
      <c r="O179" s="131">
        <v>78</v>
      </c>
      <c r="P179" s="131">
        <v>8.1999999999999993</v>
      </c>
      <c r="Q179" s="131">
        <v>124.7</v>
      </c>
      <c r="R179" s="145">
        <f>Purchases!D119</f>
        <v>17917492.307692308</v>
      </c>
      <c r="S179" s="128">
        <f ca="1">Data!G59</f>
        <v>18327925.288411517</v>
      </c>
      <c r="T179" s="127">
        <f ca="1">Data!I59</f>
        <v>12769517.919151517</v>
      </c>
      <c r="U179" s="129">
        <f t="shared" si="91"/>
        <v>12929873.482157378</v>
      </c>
      <c r="V179" s="145">
        <f t="shared" si="92"/>
        <v>17437469.060882352</v>
      </c>
      <c r="W179" s="145">
        <f t="shared" si="93"/>
        <v>17872540.89065804</v>
      </c>
      <c r="X179" s="129">
        <f t="shared" si="94"/>
        <v>17498606.146013767</v>
      </c>
      <c r="Y179" s="128"/>
      <c r="Z179" s="128"/>
    </row>
    <row r="180" spans="1:26" x14ac:dyDescent="0.2">
      <c r="A180" s="127">
        <v>2015</v>
      </c>
      <c r="B180" s="130">
        <v>11</v>
      </c>
      <c r="C180" s="130">
        <v>7.16</v>
      </c>
      <c r="D180" s="141">
        <v>385.2</v>
      </c>
      <c r="E180" s="131">
        <v>0</v>
      </c>
      <c r="F180" s="131">
        <v>325.2</v>
      </c>
      <c r="G180" s="131">
        <v>0</v>
      </c>
      <c r="H180" s="131">
        <v>266.09999999999997</v>
      </c>
      <c r="I180" s="131">
        <v>0.89999999999999858</v>
      </c>
      <c r="J180" s="131">
        <v>210.49999999999997</v>
      </c>
      <c r="K180" s="131">
        <v>5.2999999999999972</v>
      </c>
      <c r="L180" s="131">
        <v>160.4</v>
      </c>
      <c r="M180" s="131">
        <v>15.199999999999998</v>
      </c>
      <c r="N180" s="131">
        <v>114.4</v>
      </c>
      <c r="O180" s="131">
        <v>29.199999999999992</v>
      </c>
      <c r="P180" s="131">
        <v>77.900000000000006</v>
      </c>
      <c r="Q180" s="131">
        <v>52.699999999999989</v>
      </c>
      <c r="R180" s="145">
        <f>Purchases!D120</f>
        <v>18378200</v>
      </c>
      <c r="S180" s="128">
        <f ca="1">Data!G60</f>
        <v>18801756.938978352</v>
      </c>
      <c r="T180" s="127">
        <f ca="1">Data!I60</f>
        <v>14051270.635958351</v>
      </c>
      <c r="U180" s="129">
        <f t="shared" si="91"/>
        <v>14022585.81850018</v>
      </c>
      <c r="V180" s="145">
        <f t="shared" si="92"/>
        <v>18654288.482242182</v>
      </c>
      <c r="W180" s="145">
        <f t="shared" si="93"/>
        <v>19075516.688204251</v>
      </c>
      <c r="X180" s="129">
        <f t="shared" si="94"/>
        <v>18704156.633518793</v>
      </c>
      <c r="Y180" s="128"/>
      <c r="Z180" s="128"/>
    </row>
    <row r="181" spans="1:26" x14ac:dyDescent="0.2">
      <c r="A181" s="127">
        <v>2015</v>
      </c>
      <c r="B181" s="130">
        <v>12</v>
      </c>
      <c r="C181" s="130">
        <v>4.5387096774193552</v>
      </c>
      <c r="D181" s="141">
        <v>479.30000000000007</v>
      </c>
      <c r="E181" s="131">
        <v>0</v>
      </c>
      <c r="F181" s="131">
        <v>417.30000000000007</v>
      </c>
      <c r="G181" s="131">
        <v>0</v>
      </c>
      <c r="H181" s="131">
        <v>355.3</v>
      </c>
      <c r="I181" s="131">
        <v>0</v>
      </c>
      <c r="J181" s="131">
        <v>293.29999999999995</v>
      </c>
      <c r="K181" s="131">
        <v>0</v>
      </c>
      <c r="L181" s="131">
        <v>232.09999999999994</v>
      </c>
      <c r="M181" s="131">
        <v>0.80000000000000071</v>
      </c>
      <c r="N181" s="131">
        <v>174.7</v>
      </c>
      <c r="O181" s="131">
        <v>5.4</v>
      </c>
      <c r="P181" s="131">
        <v>121.69999999999999</v>
      </c>
      <c r="Q181" s="131">
        <v>14.400000000000002</v>
      </c>
      <c r="R181" s="145">
        <f>Purchases!D121</f>
        <v>20053746.153846152</v>
      </c>
      <c r="S181" s="128">
        <f ca="1">Data!G61</f>
        <v>20490427.051083647</v>
      </c>
      <c r="T181" s="127">
        <f ca="1">Data!I61</f>
        <v>15698453.892243646</v>
      </c>
      <c r="U181" s="129">
        <f t="shared" si="91"/>
        <v>14824798.034610528</v>
      </c>
      <c r="V181" s="145">
        <f t="shared" si="92"/>
        <v>19663476.061083894</v>
      </c>
      <c r="W181" s="145">
        <f t="shared" si="93"/>
        <v>19966032.603126474</v>
      </c>
      <c r="X181" s="129">
        <f t="shared" si="94"/>
        <v>19722150.975897737</v>
      </c>
      <c r="Y181" s="128"/>
      <c r="Z181" s="128"/>
    </row>
    <row r="182" spans="1:26" x14ac:dyDescent="0.2">
      <c r="A182" s="127">
        <v>2016</v>
      </c>
      <c r="B182" s="130">
        <v>1</v>
      </c>
      <c r="C182" s="130">
        <v>-2.8032258064516129</v>
      </c>
      <c r="D182" s="141">
        <v>706.9</v>
      </c>
      <c r="E182" s="131">
        <v>0</v>
      </c>
      <c r="F182" s="131">
        <v>644.9</v>
      </c>
      <c r="G182" s="131">
        <v>0</v>
      </c>
      <c r="H182" s="131">
        <v>582.9</v>
      </c>
      <c r="I182" s="131">
        <v>0</v>
      </c>
      <c r="J182" s="131">
        <v>520.9</v>
      </c>
      <c r="K182" s="131">
        <v>0</v>
      </c>
      <c r="L182" s="131">
        <v>458.89999999999992</v>
      </c>
      <c r="M182" s="131">
        <v>0</v>
      </c>
      <c r="N182" s="131">
        <v>396.9</v>
      </c>
      <c r="O182" s="131">
        <v>0</v>
      </c>
      <c r="P182" s="131">
        <v>334.9</v>
      </c>
      <c r="Q182" s="131">
        <v>0</v>
      </c>
      <c r="R182" s="145">
        <f>Purchases!D122</f>
        <v>22182546.149999999</v>
      </c>
      <c r="S182" s="128">
        <f ca="1">Data!G62</f>
        <v>22653592.291770127</v>
      </c>
      <c r="T182" s="127">
        <f ca="1">Data!I62</f>
        <v>17319299.615350127</v>
      </c>
      <c r="U182" s="129">
        <f t="shared" si="91"/>
        <v>16871698.263161145</v>
      </c>
      <c r="V182" s="145">
        <f t="shared" si="92"/>
        <v>22343964.974779759</v>
      </c>
      <c r="W182" s="145">
        <f t="shared" si="93"/>
        <v>22166699.511229586</v>
      </c>
      <c r="X182" s="129">
        <f t="shared" si="94"/>
        <v>22345868.337456767</v>
      </c>
      <c r="Y182" s="128"/>
      <c r="Z182" s="128"/>
    </row>
    <row r="183" spans="1:26" x14ac:dyDescent="0.2">
      <c r="A183" s="127">
        <v>2016</v>
      </c>
      <c r="B183" s="130">
        <v>2</v>
      </c>
      <c r="C183" s="130">
        <v>-0.97241379310344833</v>
      </c>
      <c r="D183" s="141">
        <v>608.20000000000005</v>
      </c>
      <c r="E183" s="131">
        <v>0</v>
      </c>
      <c r="F183" s="131">
        <v>550.19999999999993</v>
      </c>
      <c r="G183" s="131">
        <v>0</v>
      </c>
      <c r="H183" s="131">
        <v>492.2</v>
      </c>
      <c r="I183" s="131">
        <v>0</v>
      </c>
      <c r="J183" s="131">
        <v>434.20000000000005</v>
      </c>
      <c r="K183" s="131">
        <v>0</v>
      </c>
      <c r="L183" s="131">
        <v>376.20000000000005</v>
      </c>
      <c r="M183" s="131">
        <v>0</v>
      </c>
      <c r="N183" s="131">
        <v>318.20000000000005</v>
      </c>
      <c r="O183" s="131">
        <v>0</v>
      </c>
      <c r="P183" s="131">
        <v>262.50000000000006</v>
      </c>
      <c r="Q183" s="131">
        <v>2.3000000000000007</v>
      </c>
      <c r="R183" s="145">
        <f>Purchases!D123</f>
        <v>19893038.460000001</v>
      </c>
      <c r="S183" s="128">
        <f ca="1">Data!G63</f>
        <v>20376621.408394717</v>
      </c>
      <c r="T183" s="127">
        <f ca="1">Data!I63</f>
        <v>14388687.574954716</v>
      </c>
      <c r="U183" s="129">
        <f t="shared" si="91"/>
        <v>16055995.931309033</v>
      </c>
      <c r="V183" s="145">
        <f t="shared" si="92"/>
        <v>21275773.654603068</v>
      </c>
      <c r="W183" s="145">
        <f t="shared" si="93"/>
        <v>21251044.167655926</v>
      </c>
      <c r="X183" s="129">
        <f t="shared" si="94"/>
        <v>21254189.804330051</v>
      </c>
      <c r="Y183" s="128"/>
      <c r="Z183" s="128"/>
    </row>
    <row r="184" spans="1:26" x14ac:dyDescent="0.2">
      <c r="A184" s="127">
        <v>2016</v>
      </c>
      <c r="B184" s="130">
        <v>3</v>
      </c>
      <c r="C184" s="130">
        <v>4.9548387096774196</v>
      </c>
      <c r="D184" s="141">
        <v>466.4</v>
      </c>
      <c r="E184" s="131">
        <v>0</v>
      </c>
      <c r="F184" s="131">
        <v>404.4</v>
      </c>
      <c r="G184" s="131">
        <v>0</v>
      </c>
      <c r="H184" s="131">
        <v>342.4</v>
      </c>
      <c r="I184" s="131">
        <v>0</v>
      </c>
      <c r="J184" s="131">
        <v>281</v>
      </c>
      <c r="K184" s="131">
        <v>0.59999999999999964</v>
      </c>
      <c r="L184" s="131">
        <v>224.50000000000003</v>
      </c>
      <c r="M184" s="131">
        <v>6.1</v>
      </c>
      <c r="N184" s="131">
        <v>170.50000000000006</v>
      </c>
      <c r="O184" s="131">
        <v>14.1</v>
      </c>
      <c r="P184" s="131">
        <v>121.50000000000001</v>
      </c>
      <c r="Q184" s="131">
        <v>27.099999999999994</v>
      </c>
      <c r="R184" s="145">
        <f>Purchases!D124</f>
        <v>19158792.309999999</v>
      </c>
      <c r="S184" s="128">
        <f ca="1">Data!G64</f>
        <v>19654912.065019302</v>
      </c>
      <c r="T184" s="127">
        <f ca="1">Data!I64</f>
        <v>14389225.821109302</v>
      </c>
      <c r="U184" s="129">
        <f t="shared" si="91"/>
        <v>14708783.039231341</v>
      </c>
      <c r="V184" s="145">
        <f t="shared" si="92"/>
        <v>19511550.28346229</v>
      </c>
      <c r="W184" s="145">
        <f t="shared" si="93"/>
        <v>19841302.360971242</v>
      </c>
      <c r="X184" s="129">
        <f t="shared" si="94"/>
        <v>19573442.918058936</v>
      </c>
      <c r="Y184" s="128"/>
      <c r="Z184" s="128"/>
    </row>
    <row r="185" spans="1:26" x14ac:dyDescent="0.2">
      <c r="A185" s="127">
        <v>2016</v>
      </c>
      <c r="B185" s="130">
        <v>4</v>
      </c>
      <c r="C185" s="130">
        <v>6.9300000000000015</v>
      </c>
      <c r="D185" s="141">
        <v>392.09999999999991</v>
      </c>
      <c r="E185" s="131">
        <v>0</v>
      </c>
      <c r="F185" s="131">
        <v>332.09999999999997</v>
      </c>
      <c r="G185" s="131">
        <v>0</v>
      </c>
      <c r="H185" s="131">
        <v>272.10000000000002</v>
      </c>
      <c r="I185" s="131">
        <v>0</v>
      </c>
      <c r="J185" s="131">
        <v>214.6</v>
      </c>
      <c r="K185" s="131">
        <v>2.5</v>
      </c>
      <c r="L185" s="131">
        <v>161.5</v>
      </c>
      <c r="M185" s="131">
        <v>9.4</v>
      </c>
      <c r="N185" s="131">
        <v>113.10000000000001</v>
      </c>
      <c r="O185" s="131">
        <v>21.000000000000004</v>
      </c>
      <c r="P185" s="131">
        <v>74.000000000000014</v>
      </c>
      <c r="Q185" s="131">
        <v>41.900000000000006</v>
      </c>
      <c r="R185" s="145">
        <f>Purchases!D125</f>
        <v>17454523.079999998</v>
      </c>
      <c r="S185" s="128">
        <f ca="1">Data!G65</f>
        <v>17963179.641643889</v>
      </c>
      <c r="T185" s="127">
        <f ca="1">Data!I65</f>
        <v>12865676.512783889</v>
      </c>
      <c r="U185" s="129">
        <f t="shared" si="91"/>
        <v>14076546.281467244</v>
      </c>
      <c r="V185" s="145">
        <f t="shared" si="92"/>
        <v>18683613.681384876</v>
      </c>
      <c r="W185" s="145">
        <f t="shared" si="93"/>
        <v>19142232.864240769</v>
      </c>
      <c r="X185" s="129">
        <f t="shared" si="94"/>
        <v>18739986.128776345</v>
      </c>
      <c r="Y185" s="128"/>
      <c r="Z185" s="128"/>
    </row>
    <row r="186" spans="1:26" x14ac:dyDescent="0.2">
      <c r="A186" s="127">
        <v>2016</v>
      </c>
      <c r="B186" s="130">
        <v>5</v>
      </c>
      <c r="C186" s="130">
        <v>15.122580645161293</v>
      </c>
      <c r="D186" s="141">
        <v>173.29999999999998</v>
      </c>
      <c r="E186" s="131">
        <v>22.100000000000005</v>
      </c>
      <c r="F186" s="131">
        <v>126.6</v>
      </c>
      <c r="G186" s="131">
        <v>37.400000000000006</v>
      </c>
      <c r="H186" s="131">
        <v>82.399999999999991</v>
      </c>
      <c r="I186" s="131">
        <v>55.2</v>
      </c>
      <c r="J186" s="131">
        <v>46.099999999999994</v>
      </c>
      <c r="K186" s="131">
        <v>80.900000000000006</v>
      </c>
      <c r="L186" s="131">
        <v>20.099999999999998</v>
      </c>
      <c r="M186" s="131">
        <v>116.89999999999998</v>
      </c>
      <c r="N186" s="131">
        <v>7.0000000000000009</v>
      </c>
      <c r="O186" s="131">
        <v>165.79999999999998</v>
      </c>
      <c r="P186" s="131">
        <v>2.8</v>
      </c>
      <c r="Q186" s="131">
        <v>223.59999999999997</v>
      </c>
      <c r="R186" s="145">
        <f>Purchases!D126</f>
        <v>17779684.620000001</v>
      </c>
      <c r="S186" s="128">
        <f ca="1">Data!G66</f>
        <v>18300877.98826848</v>
      </c>
      <c r="T186" s="127">
        <f ca="1">Data!I66</f>
        <v>13617898.10296848</v>
      </c>
      <c r="U186" s="129">
        <f t="shared" si="91"/>
        <v>14388132.874511767</v>
      </c>
      <c r="V186" s="145">
        <f t="shared" ref="V186:V217" si="95">$AL$118+H186*$AL$119+I186*$AL$120</f>
        <v>18984874.812255774</v>
      </c>
      <c r="W186" s="145">
        <f t="shared" ref="W186:W217" si="96">$AL$134+F186*$AL$135+G186*$AL$136</f>
        <v>19427822.558140229</v>
      </c>
      <c r="X186" s="129">
        <f t="shared" ref="X186:X217" si="97">$AL$150+F186*$AL$151+I186*$AL$152</f>
        <v>19052036.325964905</v>
      </c>
      <c r="Y186" s="128"/>
      <c r="Z186" s="128"/>
    </row>
    <row r="187" spans="1:26" x14ac:dyDescent="0.2">
      <c r="A187" s="127">
        <v>2016</v>
      </c>
      <c r="B187" s="130">
        <v>6</v>
      </c>
      <c r="C187" s="130">
        <v>21.150000000000002</v>
      </c>
      <c r="D187" s="141">
        <v>18.400000000000002</v>
      </c>
      <c r="E187" s="131">
        <v>52.900000000000006</v>
      </c>
      <c r="F187" s="131">
        <v>6.7999999999999989</v>
      </c>
      <c r="G187" s="131">
        <v>101.3</v>
      </c>
      <c r="H187" s="131">
        <v>0.90000000000000036</v>
      </c>
      <c r="I187" s="131">
        <v>155.4</v>
      </c>
      <c r="J187" s="131">
        <v>0</v>
      </c>
      <c r="K187" s="131">
        <v>214.49999999999991</v>
      </c>
      <c r="L187" s="131">
        <v>0</v>
      </c>
      <c r="M187" s="131">
        <v>274.49999999999989</v>
      </c>
      <c r="N187" s="131">
        <v>0</v>
      </c>
      <c r="O187" s="131">
        <v>334.49999999999989</v>
      </c>
      <c r="P187" s="131">
        <v>0</v>
      </c>
      <c r="Q187" s="131">
        <v>394.49999999999989</v>
      </c>
      <c r="R187" s="145">
        <f>Purchases!D127</f>
        <v>21050084.620000001</v>
      </c>
      <c r="S187" s="128">
        <f ca="1">Data!G67</f>
        <v>21583814.794893071</v>
      </c>
      <c r="T187" s="127">
        <f ca="1">Data!I67</f>
        <v>17071153.269893073</v>
      </c>
      <c r="U187" s="129">
        <f t="shared" ref="U187:U241" si="98">$AL$166+H187*$AL$167+G187*$AL$168</f>
        <v>17102415.278305914</v>
      </c>
      <c r="V187" s="145">
        <f t="shared" si="95"/>
        <v>22627325.78639042</v>
      </c>
      <c r="W187" s="145">
        <f t="shared" si="96"/>
        <v>22152290.979037717</v>
      </c>
      <c r="X187" s="129">
        <f t="shared" si="97"/>
        <v>22537616.451064426</v>
      </c>
      <c r="Y187" s="128"/>
      <c r="Z187" s="128"/>
    </row>
    <row r="188" spans="1:26" x14ac:dyDescent="0.2">
      <c r="A188" s="127">
        <v>2016</v>
      </c>
      <c r="B188" s="130">
        <v>7</v>
      </c>
      <c r="C188" s="130">
        <v>23.751612903225805</v>
      </c>
      <c r="D188" s="141">
        <v>2.6000000000000014</v>
      </c>
      <c r="E188" s="131">
        <v>118.89999999999999</v>
      </c>
      <c r="F188" s="131">
        <v>0</v>
      </c>
      <c r="G188" s="131">
        <v>178.3</v>
      </c>
      <c r="H188" s="131">
        <v>0</v>
      </c>
      <c r="I188" s="131">
        <v>240.29999999999998</v>
      </c>
      <c r="J188" s="131">
        <v>0</v>
      </c>
      <c r="K188" s="131">
        <v>302.3</v>
      </c>
      <c r="L188" s="131">
        <v>0</v>
      </c>
      <c r="M188" s="131">
        <v>364.29999999999995</v>
      </c>
      <c r="N188" s="131">
        <v>0</v>
      </c>
      <c r="O188" s="131">
        <v>426.3</v>
      </c>
      <c r="P188" s="131">
        <v>0</v>
      </c>
      <c r="Q188" s="131">
        <v>488.3</v>
      </c>
      <c r="R188" s="145">
        <f>Purchases!D128</f>
        <v>25290492.309999999</v>
      </c>
      <c r="S188" s="128">
        <f ca="1">Data!G68</f>
        <v>25836759.291517656</v>
      </c>
      <c r="T188" s="127">
        <f ca="1">Data!I68</f>
        <v>20543988.171017654</v>
      </c>
      <c r="U188" s="129">
        <f t="shared" si="98"/>
        <v>21248278.84032331</v>
      </c>
      <c r="V188" s="145">
        <f t="shared" si="95"/>
        <v>26516273.235787842</v>
      </c>
      <c r="W188" s="145">
        <f t="shared" si="96"/>
        <v>26765365.295061193</v>
      </c>
      <c r="X188" s="129">
        <f t="shared" si="97"/>
        <v>26582728.642929394</v>
      </c>
      <c r="Y188" s="128"/>
      <c r="Z188" s="128"/>
    </row>
    <row r="189" spans="1:26" x14ac:dyDescent="0.2">
      <c r="A189" s="127">
        <v>2016</v>
      </c>
      <c r="B189" s="130">
        <v>8</v>
      </c>
      <c r="C189" s="130">
        <v>23.641935483870963</v>
      </c>
      <c r="D189" s="141">
        <v>1.3999999999999986</v>
      </c>
      <c r="E189" s="131">
        <v>114.29999999999998</v>
      </c>
      <c r="F189" s="131">
        <v>0</v>
      </c>
      <c r="G189" s="131">
        <v>174.90000000000006</v>
      </c>
      <c r="H189" s="131">
        <v>0</v>
      </c>
      <c r="I189" s="131">
        <v>236.90000000000003</v>
      </c>
      <c r="J189" s="131">
        <v>0</v>
      </c>
      <c r="K189" s="131">
        <v>298.89999999999992</v>
      </c>
      <c r="L189" s="131">
        <v>0</v>
      </c>
      <c r="M189" s="131">
        <v>360.9</v>
      </c>
      <c r="N189" s="131">
        <v>0</v>
      </c>
      <c r="O189" s="131">
        <v>422.90000000000003</v>
      </c>
      <c r="P189" s="131">
        <v>0</v>
      </c>
      <c r="Q189" s="131">
        <v>484.90000000000003</v>
      </c>
      <c r="R189" s="145">
        <f>Purchases!D129</f>
        <v>26373046.149999999</v>
      </c>
      <c r="S189" s="128">
        <f ca="1">Data!G69</f>
        <v>26931849.938142244</v>
      </c>
      <c r="T189" s="127">
        <f ca="1">Data!I69</f>
        <v>20452601.431742243</v>
      </c>
      <c r="U189" s="129">
        <f t="shared" si="98"/>
        <v>21064857.334518477</v>
      </c>
      <c r="V189" s="145">
        <f t="shared" si="95"/>
        <v>26360107.634661034</v>
      </c>
      <c r="W189" s="145">
        <f t="shared" si="96"/>
        <v>26558767.889746167</v>
      </c>
      <c r="X189" s="129">
        <f t="shared" si="97"/>
        <v>26417594.329845667</v>
      </c>
      <c r="Y189" s="128"/>
      <c r="Z189" s="128"/>
    </row>
    <row r="190" spans="1:26" x14ac:dyDescent="0.2">
      <c r="A190" s="127">
        <v>2016</v>
      </c>
      <c r="B190" s="130">
        <v>9</v>
      </c>
      <c r="C190" s="130">
        <v>19.376666666666665</v>
      </c>
      <c r="D190" s="141">
        <v>48.5</v>
      </c>
      <c r="E190" s="131">
        <v>29.799999999999997</v>
      </c>
      <c r="F190" s="131">
        <v>19.399999999999995</v>
      </c>
      <c r="G190" s="131">
        <v>60.70000000000001</v>
      </c>
      <c r="H190" s="131">
        <v>3.5999999999999979</v>
      </c>
      <c r="I190" s="131">
        <v>104.9</v>
      </c>
      <c r="J190" s="131">
        <v>0.19999999999999929</v>
      </c>
      <c r="K190" s="131">
        <v>161.5</v>
      </c>
      <c r="L190" s="131">
        <v>0</v>
      </c>
      <c r="M190" s="131">
        <v>221.29999999999998</v>
      </c>
      <c r="N190" s="131">
        <v>0</v>
      </c>
      <c r="O190" s="131">
        <v>281.3</v>
      </c>
      <c r="P190" s="131">
        <v>0</v>
      </c>
      <c r="Q190" s="131">
        <v>341.29999999999995</v>
      </c>
      <c r="R190" s="145">
        <f>Purchases!D130</f>
        <v>19870438.460000001</v>
      </c>
      <c r="S190" s="128">
        <f ca="1">Data!G70</f>
        <v>20441779.054766834</v>
      </c>
      <c r="T190" s="127">
        <f ca="1">Data!I70</f>
        <v>14159633.710466832</v>
      </c>
      <c r="U190" s="129">
        <f t="shared" si="98"/>
        <v>14936428.917324528</v>
      </c>
      <c r="V190" s="145">
        <f t="shared" si="95"/>
        <v>20339605.71763771</v>
      </c>
      <c r="W190" s="145">
        <f t="shared" si="96"/>
        <v>19807104.442654602</v>
      </c>
      <c r="X190" s="129">
        <f t="shared" si="97"/>
        <v>20230135.943527244</v>
      </c>
      <c r="Y190" s="128"/>
      <c r="Z190" s="128"/>
    </row>
    <row r="191" spans="1:26" x14ac:dyDescent="0.2">
      <c r="A191" s="127">
        <v>2016</v>
      </c>
      <c r="B191" s="130">
        <v>10</v>
      </c>
      <c r="C191" s="130">
        <v>12.867741935483869</v>
      </c>
      <c r="D191" s="141">
        <v>224.6</v>
      </c>
      <c r="E191" s="131">
        <v>3.5</v>
      </c>
      <c r="F191" s="131">
        <v>173.20000000000002</v>
      </c>
      <c r="G191" s="131">
        <v>14.099999999999998</v>
      </c>
      <c r="H191" s="131">
        <v>127</v>
      </c>
      <c r="I191" s="131">
        <v>29.9</v>
      </c>
      <c r="J191" s="131">
        <v>88.9</v>
      </c>
      <c r="K191" s="131">
        <v>53.79999999999999</v>
      </c>
      <c r="L191" s="131">
        <v>55.9</v>
      </c>
      <c r="M191" s="131">
        <v>82.799999999999983</v>
      </c>
      <c r="N191" s="131">
        <v>29.8</v>
      </c>
      <c r="O191" s="131">
        <v>118.69999999999999</v>
      </c>
      <c r="P191" s="131">
        <v>11.399999999999999</v>
      </c>
      <c r="Q191" s="131">
        <v>162.29999999999998</v>
      </c>
      <c r="R191" s="145">
        <f>Purchases!D131</f>
        <v>16662107.689999999</v>
      </c>
      <c r="S191" s="128">
        <f ca="1">Data!G71</f>
        <v>17245985.091391418</v>
      </c>
      <c r="T191" s="127">
        <f ca="1">Data!I71</f>
        <v>12619453.404591419</v>
      </c>
      <c r="U191" s="129">
        <f t="shared" si="98"/>
        <v>13532262.192786746</v>
      </c>
      <c r="V191" s="145">
        <f t="shared" si="95"/>
        <v>18348081.78167627</v>
      </c>
      <c r="W191" s="145">
        <f t="shared" si="96"/>
        <v>18462598.605826873</v>
      </c>
      <c r="X191" s="129">
        <f t="shared" si="97"/>
        <v>18360436.210206661</v>
      </c>
      <c r="Y191" s="128"/>
      <c r="Z191" s="128"/>
    </row>
    <row r="192" spans="1:26" x14ac:dyDescent="0.2">
      <c r="A192" s="127">
        <v>2016</v>
      </c>
      <c r="B192" s="130">
        <v>11</v>
      </c>
      <c r="C192" s="130">
        <v>7.49</v>
      </c>
      <c r="D192" s="141">
        <v>375.3</v>
      </c>
      <c r="E192" s="131">
        <v>0</v>
      </c>
      <c r="F192" s="131">
        <v>315.30000000000007</v>
      </c>
      <c r="G192" s="131">
        <v>0</v>
      </c>
      <c r="H192" s="131">
        <v>255.4</v>
      </c>
      <c r="I192" s="131">
        <v>0.10000000000000142</v>
      </c>
      <c r="J192" s="131">
        <v>200.29999999999998</v>
      </c>
      <c r="K192" s="131">
        <v>5.0000000000000018</v>
      </c>
      <c r="L192" s="131">
        <v>146.9</v>
      </c>
      <c r="M192" s="131">
        <v>11.600000000000001</v>
      </c>
      <c r="N192" s="131">
        <v>98.199999999999989</v>
      </c>
      <c r="O192" s="131">
        <v>22.900000000000002</v>
      </c>
      <c r="P192" s="131">
        <v>60.900000000000006</v>
      </c>
      <c r="Q192" s="131">
        <v>45.600000000000009</v>
      </c>
      <c r="R192" s="145">
        <f>Purchases!D132</f>
        <v>17715484.620000001</v>
      </c>
      <c r="S192" s="128">
        <f ca="1">Data!G72</f>
        <v>18311898.828016009</v>
      </c>
      <c r="T192" s="127">
        <f ca="1">Data!I72</f>
        <v>13865773.93401601</v>
      </c>
      <c r="U192" s="129">
        <f t="shared" si="98"/>
        <v>13926356.326208916</v>
      </c>
      <c r="V192" s="145">
        <f t="shared" si="95"/>
        <v>18491527.679836746</v>
      </c>
      <c r="W192" s="145">
        <f t="shared" si="96"/>
        <v>18979793.479108378</v>
      </c>
      <c r="X192" s="129">
        <f t="shared" si="97"/>
        <v>18551176.712454539</v>
      </c>
      <c r="Y192" s="128"/>
      <c r="Z192" s="128"/>
    </row>
    <row r="193" spans="1:26" x14ac:dyDescent="0.2">
      <c r="A193" s="127">
        <v>2016</v>
      </c>
      <c r="B193" s="130">
        <v>12</v>
      </c>
      <c r="C193" s="130">
        <v>-2.1032258064516132</v>
      </c>
      <c r="D193" s="141">
        <v>685.19999999999993</v>
      </c>
      <c r="E193" s="131">
        <v>0</v>
      </c>
      <c r="F193" s="131">
        <v>623.19999999999993</v>
      </c>
      <c r="G193" s="131">
        <v>0</v>
      </c>
      <c r="H193" s="131">
        <v>561.20000000000005</v>
      </c>
      <c r="I193" s="131">
        <v>0</v>
      </c>
      <c r="J193" s="131">
        <v>499.20000000000005</v>
      </c>
      <c r="K193" s="131">
        <v>0</v>
      </c>
      <c r="L193" s="131">
        <v>437.20000000000005</v>
      </c>
      <c r="M193" s="131">
        <v>0</v>
      </c>
      <c r="N193" s="131">
        <v>375.2</v>
      </c>
      <c r="O193" s="131">
        <v>0</v>
      </c>
      <c r="P193" s="131">
        <v>313.2</v>
      </c>
      <c r="Q193" s="131">
        <v>0</v>
      </c>
      <c r="R193" s="145">
        <f>Purchases!D133</f>
        <v>21539892.309999999</v>
      </c>
      <c r="S193" s="128">
        <f ca="1">Data!G73</f>
        <v>22148843.324640594</v>
      </c>
      <c r="T193" s="127">
        <f ca="1">Data!I73</f>
        <v>17291418.577740595</v>
      </c>
      <c r="U193" s="129">
        <f t="shared" si="98"/>
        <v>16676541.255430266</v>
      </c>
      <c r="V193" s="145">
        <f t="shared" si="95"/>
        <v>22088399.906997684</v>
      </c>
      <c r="W193" s="145">
        <f t="shared" si="96"/>
        <v>21956881.972100247</v>
      </c>
      <c r="X193" s="129">
        <f t="shared" si="97"/>
        <v>22095716.023107771</v>
      </c>
      <c r="Y193" s="128"/>
      <c r="Z193" s="128"/>
    </row>
    <row r="194" spans="1:26" x14ac:dyDescent="0.2">
      <c r="A194" s="127">
        <v>2017</v>
      </c>
      <c r="B194" s="130">
        <v>1</v>
      </c>
      <c r="C194" s="130">
        <v>-0.84516129032258069</v>
      </c>
      <c r="D194" s="141">
        <v>646.20000000000005</v>
      </c>
      <c r="E194" s="131">
        <v>0</v>
      </c>
      <c r="F194" s="131">
        <v>584.19999999999993</v>
      </c>
      <c r="G194" s="131">
        <v>0</v>
      </c>
      <c r="H194" s="131">
        <v>522.19999999999993</v>
      </c>
      <c r="I194" s="131">
        <v>0</v>
      </c>
      <c r="J194" s="131">
        <v>460.19999999999993</v>
      </c>
      <c r="K194" s="131">
        <v>0</v>
      </c>
      <c r="L194" s="131">
        <v>398.19999999999993</v>
      </c>
      <c r="M194" s="131">
        <v>0</v>
      </c>
      <c r="N194" s="131">
        <v>336.2</v>
      </c>
      <c r="O194" s="131">
        <v>0</v>
      </c>
      <c r="P194" s="131">
        <v>274.2</v>
      </c>
      <c r="Q194" s="131">
        <v>0</v>
      </c>
      <c r="R194" s="145">
        <f>Purchases!D134</f>
        <v>21332376.190000001</v>
      </c>
      <c r="S194" s="128">
        <f ca="1">Data!G74</f>
        <v>21977343.197596632</v>
      </c>
      <c r="T194" s="127">
        <f ca="1">Data!I74</f>
        <v>15934226.292386632</v>
      </c>
      <c r="U194" s="129">
        <f t="shared" si="98"/>
        <v>16325798.246144351</v>
      </c>
      <c r="V194" s="145">
        <f t="shared" si="95"/>
        <v>21629089.416513771</v>
      </c>
      <c r="W194" s="145">
        <f t="shared" si="96"/>
        <v>21579790.542328626</v>
      </c>
      <c r="X194" s="129">
        <f t="shared" si="97"/>
        <v>21646133.522664882</v>
      </c>
      <c r="Y194" s="128"/>
      <c r="Z194" s="128"/>
    </row>
    <row r="195" spans="1:26" x14ac:dyDescent="0.2">
      <c r="A195" s="127">
        <v>2017</v>
      </c>
      <c r="B195" s="130">
        <v>2</v>
      </c>
      <c r="C195" s="130">
        <v>2.2607142857142857</v>
      </c>
      <c r="D195" s="141">
        <v>496.69999999999987</v>
      </c>
      <c r="E195" s="131">
        <v>0</v>
      </c>
      <c r="F195" s="131">
        <v>440.69999999999987</v>
      </c>
      <c r="G195" s="131">
        <v>0</v>
      </c>
      <c r="H195" s="131">
        <v>384.69999999999987</v>
      </c>
      <c r="I195" s="131">
        <v>0</v>
      </c>
      <c r="J195" s="131">
        <v>328.69999999999993</v>
      </c>
      <c r="K195" s="131">
        <v>0</v>
      </c>
      <c r="L195" s="131">
        <v>272.7</v>
      </c>
      <c r="M195" s="131">
        <v>0</v>
      </c>
      <c r="N195" s="131">
        <v>221.09999999999997</v>
      </c>
      <c r="O195" s="131">
        <v>4.4000000000000004</v>
      </c>
      <c r="P195" s="131">
        <v>174.9</v>
      </c>
      <c r="Q195" s="131">
        <v>14.200000000000001</v>
      </c>
      <c r="R195" s="145">
        <f>Purchases!D135</f>
        <v>17869619.050000001</v>
      </c>
      <c r="S195" s="128">
        <f ca="1">Data!G75</f>
        <v>18527994.060588073</v>
      </c>
      <c r="T195" s="127">
        <f ca="1">Data!I75</f>
        <v>12754607.086278073</v>
      </c>
      <c r="U195" s="129">
        <f t="shared" si="98"/>
        <v>15089204.30314914</v>
      </c>
      <c r="V195" s="145">
        <f t="shared" si="95"/>
        <v>20009725.507756382</v>
      </c>
      <c r="W195" s="145">
        <f t="shared" si="96"/>
        <v>20192287.460989445</v>
      </c>
      <c r="X195" s="129">
        <f t="shared" si="97"/>
        <v>19991900.476163473</v>
      </c>
      <c r="Y195" s="128"/>
      <c r="Z195" s="128"/>
    </row>
    <row r="196" spans="1:26" x14ac:dyDescent="0.2">
      <c r="A196" s="127">
        <v>2017</v>
      </c>
      <c r="B196" s="130">
        <v>3</v>
      </c>
      <c r="C196" s="130">
        <v>1.6354838709677419</v>
      </c>
      <c r="D196" s="141">
        <v>569.30000000000007</v>
      </c>
      <c r="E196" s="131">
        <v>0</v>
      </c>
      <c r="F196" s="131">
        <v>507.30000000000007</v>
      </c>
      <c r="G196" s="131">
        <v>0</v>
      </c>
      <c r="H196" s="131">
        <v>445.30000000000013</v>
      </c>
      <c r="I196" s="131">
        <v>0</v>
      </c>
      <c r="J196" s="131">
        <v>383.30000000000007</v>
      </c>
      <c r="K196" s="131">
        <v>0</v>
      </c>
      <c r="L196" s="131">
        <v>322.30000000000007</v>
      </c>
      <c r="M196" s="131">
        <v>1</v>
      </c>
      <c r="N196" s="131">
        <v>264</v>
      </c>
      <c r="O196" s="131">
        <v>4.6999999999999993</v>
      </c>
      <c r="P196" s="131">
        <v>207.1</v>
      </c>
      <c r="Q196" s="131">
        <v>9.7999999999999989</v>
      </c>
      <c r="R196" s="145">
        <f>Purchases!D136</f>
        <v>19357285.710000001</v>
      </c>
      <c r="S196" s="128">
        <f ca="1">Data!G76</f>
        <v>20029068.723579515</v>
      </c>
      <c r="T196" s="127">
        <f ca="1">Data!I76</f>
        <v>15496962.397589516</v>
      </c>
      <c r="U196" s="129">
        <f t="shared" si="98"/>
        <v>15634204.979116485</v>
      </c>
      <c r="V196" s="145">
        <f t="shared" si="95"/>
        <v>20723423.346816003</v>
      </c>
      <c r="W196" s="145">
        <f t="shared" si="96"/>
        <v>20836243.594907142</v>
      </c>
      <c r="X196" s="129">
        <f t="shared" si="97"/>
        <v>20759649.053842872</v>
      </c>
      <c r="Y196" s="128"/>
      <c r="Z196" s="128"/>
    </row>
    <row r="197" spans="1:26" x14ac:dyDescent="0.2">
      <c r="A197" s="127">
        <v>2017</v>
      </c>
      <c r="B197" s="130">
        <v>4</v>
      </c>
      <c r="C197" s="130">
        <v>11.35</v>
      </c>
      <c r="D197" s="141">
        <v>259.50000000000006</v>
      </c>
      <c r="E197" s="131">
        <v>0</v>
      </c>
      <c r="F197" s="131">
        <v>200.50000000000003</v>
      </c>
      <c r="G197" s="131">
        <v>1</v>
      </c>
      <c r="H197" s="131">
        <v>147.39999999999995</v>
      </c>
      <c r="I197" s="131">
        <v>7.9000000000000021</v>
      </c>
      <c r="J197" s="131">
        <v>100.79999999999997</v>
      </c>
      <c r="K197" s="131">
        <v>21.300000000000004</v>
      </c>
      <c r="L197" s="131">
        <v>59.800000000000011</v>
      </c>
      <c r="M197" s="131">
        <v>40.300000000000004</v>
      </c>
      <c r="N197" s="131">
        <v>28</v>
      </c>
      <c r="O197" s="131">
        <v>68.5</v>
      </c>
      <c r="P197" s="131">
        <v>9.5</v>
      </c>
      <c r="Q197" s="131">
        <v>110.00000000000003</v>
      </c>
      <c r="R197" s="145">
        <f>Purchases!D137</f>
        <v>15858266.67</v>
      </c>
      <c r="S197" s="128">
        <f ca="1">Data!G77</f>
        <v>16543457.686570955</v>
      </c>
      <c r="T197" s="127">
        <f ca="1">Data!I77</f>
        <v>11543987.561440956</v>
      </c>
      <c r="U197" s="129">
        <f t="shared" si="98"/>
        <v>13009015.494509071</v>
      </c>
      <c r="V197" s="145">
        <f t="shared" si="95"/>
        <v>17577853.19836678</v>
      </c>
      <c r="W197" s="145">
        <f t="shared" si="96"/>
        <v>17930554.956776749</v>
      </c>
      <c r="X197" s="129">
        <f t="shared" si="97"/>
        <v>17606627.81703373</v>
      </c>
      <c r="Y197" s="128"/>
      <c r="Z197" s="128"/>
    </row>
    <row r="198" spans="1:26" x14ac:dyDescent="0.2">
      <c r="A198" s="127">
        <v>2017</v>
      </c>
      <c r="B198" s="130">
        <v>5</v>
      </c>
      <c r="C198" s="130">
        <v>14.206451612903226</v>
      </c>
      <c r="D198" s="141">
        <v>187.8</v>
      </c>
      <c r="E198" s="131">
        <v>8.1999999999999993</v>
      </c>
      <c r="F198" s="131">
        <v>135.5</v>
      </c>
      <c r="G198" s="131">
        <v>17.900000000000002</v>
      </c>
      <c r="H198" s="131">
        <v>93.700000000000017</v>
      </c>
      <c r="I198" s="131">
        <v>38.100000000000009</v>
      </c>
      <c r="J198" s="131">
        <v>58.300000000000004</v>
      </c>
      <c r="K198" s="131">
        <v>64.7</v>
      </c>
      <c r="L198" s="131">
        <v>32.1</v>
      </c>
      <c r="M198" s="131">
        <v>100.50000000000001</v>
      </c>
      <c r="N198" s="131">
        <v>14.2</v>
      </c>
      <c r="O198" s="131">
        <v>144.6</v>
      </c>
      <c r="P198" s="131">
        <v>2.0000000000000009</v>
      </c>
      <c r="Q198" s="131">
        <v>194.4</v>
      </c>
      <c r="R198" s="145">
        <f>Purchases!D138</f>
        <v>16800623.809999999</v>
      </c>
      <c r="S198" s="128">
        <f ca="1">Data!G78</f>
        <v>17499222.829562396</v>
      </c>
      <c r="T198" s="127">
        <f ca="1">Data!I78</f>
        <v>13410945.516602395</v>
      </c>
      <c r="U198" s="129">
        <f t="shared" si="98"/>
        <v>13437782.129807299</v>
      </c>
      <c r="V198" s="145">
        <f t="shared" si="95"/>
        <v>18332535.971025929</v>
      </c>
      <c r="W198" s="145">
        <f t="shared" si="96"/>
        <v>18328979.872791883</v>
      </c>
      <c r="X198" s="129">
        <f t="shared" si="97"/>
        <v>18324104.901137326</v>
      </c>
      <c r="Y198" s="128"/>
      <c r="Z198" s="128"/>
    </row>
    <row r="199" spans="1:26" x14ac:dyDescent="0.2">
      <c r="A199" s="127">
        <v>2017</v>
      </c>
      <c r="B199" s="130">
        <v>6</v>
      </c>
      <c r="C199" s="130">
        <v>21.110000000000003</v>
      </c>
      <c r="D199" s="141">
        <v>31.899999999999995</v>
      </c>
      <c r="E199" s="131">
        <v>65.199999999999989</v>
      </c>
      <c r="F199" s="131">
        <v>9.1999999999999957</v>
      </c>
      <c r="G199" s="131">
        <v>102.50000000000003</v>
      </c>
      <c r="H199" s="131">
        <v>0</v>
      </c>
      <c r="I199" s="131">
        <v>153.29999999999998</v>
      </c>
      <c r="J199" s="131">
        <v>0</v>
      </c>
      <c r="K199" s="131">
        <v>213.29999999999998</v>
      </c>
      <c r="L199" s="131">
        <v>0</v>
      </c>
      <c r="M199" s="131">
        <v>273.3</v>
      </c>
      <c r="N199" s="131">
        <v>0</v>
      </c>
      <c r="O199" s="131">
        <v>333.30000000000007</v>
      </c>
      <c r="P199" s="131">
        <v>0</v>
      </c>
      <c r="Q199" s="131">
        <v>393.30000000000007</v>
      </c>
      <c r="R199" s="145">
        <f>Purchases!D139</f>
        <v>20337761.899999999</v>
      </c>
      <c r="S199" s="128">
        <f ca="1">Data!G79</f>
        <v>21049768.922553837</v>
      </c>
      <c r="T199" s="127">
        <f ca="1">Data!I79</f>
        <v>16765511.411913838</v>
      </c>
      <c r="U199" s="129">
        <f t="shared" si="98"/>
        <v>17159058.210909624</v>
      </c>
      <c r="V199" s="145">
        <f t="shared" si="95"/>
        <v>22520271.089307714</v>
      </c>
      <c r="W199" s="145">
        <f t="shared" si="96"/>
        <v>22248413.336772859</v>
      </c>
      <c r="X199" s="129">
        <f t="shared" si="97"/>
        <v>22463288.343689289</v>
      </c>
      <c r="Y199" s="128"/>
      <c r="Z199" s="128"/>
    </row>
    <row r="200" spans="1:26" x14ac:dyDescent="0.2">
      <c r="A200" s="127">
        <v>2017</v>
      </c>
      <c r="B200" s="130">
        <v>7</v>
      </c>
      <c r="C200" s="130">
        <v>22.41935483870968</v>
      </c>
      <c r="D200" s="141">
        <v>1</v>
      </c>
      <c r="E200" s="131">
        <v>76</v>
      </c>
      <c r="F200" s="131">
        <v>0</v>
      </c>
      <c r="G200" s="131">
        <v>137.00000000000003</v>
      </c>
      <c r="H200" s="131">
        <v>0</v>
      </c>
      <c r="I200" s="131">
        <v>198.99999999999997</v>
      </c>
      <c r="J200" s="131">
        <v>0</v>
      </c>
      <c r="K200" s="131">
        <v>260.99999999999994</v>
      </c>
      <c r="L200" s="131">
        <v>0</v>
      </c>
      <c r="M200" s="131">
        <v>323</v>
      </c>
      <c r="N200" s="131">
        <v>0</v>
      </c>
      <c r="O200" s="131">
        <v>385</v>
      </c>
      <c r="P200" s="131">
        <v>0</v>
      </c>
      <c r="Q200" s="131">
        <v>447</v>
      </c>
      <c r="R200" s="145">
        <f>Purchases!D140</f>
        <v>24007900</v>
      </c>
      <c r="S200" s="128">
        <f ca="1">Data!G80</f>
        <v>24733315.02554528</v>
      </c>
      <c r="T200" s="127">
        <f ca="1">Data!I80</f>
        <v>19517864.55961528</v>
      </c>
      <c r="U200" s="129">
        <f t="shared" si="98"/>
        <v>19020247.01981163</v>
      </c>
      <c r="V200" s="145">
        <f t="shared" si="95"/>
        <v>24619320.492688656</v>
      </c>
      <c r="W200" s="145">
        <f t="shared" si="96"/>
        <v>24255814.459910989</v>
      </c>
      <c r="X200" s="129">
        <f t="shared" si="97"/>
        <v>24576832.428118218</v>
      </c>
      <c r="Y200" s="128"/>
      <c r="Z200" s="128"/>
    </row>
    <row r="201" spans="1:26" x14ac:dyDescent="0.2">
      <c r="A201" s="127">
        <v>2017</v>
      </c>
      <c r="B201" s="130">
        <v>8</v>
      </c>
      <c r="C201" s="130">
        <v>20.383870967741935</v>
      </c>
      <c r="D201" s="141">
        <v>22.899999999999995</v>
      </c>
      <c r="E201" s="131">
        <v>34.800000000000011</v>
      </c>
      <c r="F201" s="131">
        <v>6.6999999999999957</v>
      </c>
      <c r="G201" s="131">
        <v>80.600000000000009</v>
      </c>
      <c r="H201" s="131">
        <v>0.5</v>
      </c>
      <c r="I201" s="131">
        <v>136.4</v>
      </c>
      <c r="J201" s="131">
        <v>0</v>
      </c>
      <c r="K201" s="131">
        <v>197.89999999999998</v>
      </c>
      <c r="L201" s="131">
        <v>0</v>
      </c>
      <c r="M201" s="131">
        <v>259.89999999999998</v>
      </c>
      <c r="N201" s="131">
        <v>0</v>
      </c>
      <c r="O201" s="131">
        <v>321.90000000000009</v>
      </c>
      <c r="P201" s="131">
        <v>0</v>
      </c>
      <c r="Q201" s="131">
        <v>383.90000000000015</v>
      </c>
      <c r="R201" s="145">
        <f>Purchases!D141</f>
        <v>22370466.670000002</v>
      </c>
      <c r="S201" s="128">
        <f ca="1">Data!G81</f>
        <v>23109289.698536724</v>
      </c>
      <c r="T201" s="127">
        <f ca="1">Data!I81</f>
        <v>16675033.687716722</v>
      </c>
      <c r="U201" s="129">
        <f t="shared" si="98"/>
        <v>15982104.628766906</v>
      </c>
      <c r="V201" s="145">
        <f t="shared" si="95"/>
        <v>21749924.785621006</v>
      </c>
      <c r="W201" s="145">
        <f t="shared" si="96"/>
        <v>20893510.463223651</v>
      </c>
      <c r="X201" s="129">
        <f t="shared" si="97"/>
        <v>21613654.278777901</v>
      </c>
      <c r="Y201" s="128"/>
      <c r="Z201" s="128"/>
    </row>
    <row r="202" spans="1:26" x14ac:dyDescent="0.2">
      <c r="A202" s="127">
        <v>2017</v>
      </c>
      <c r="B202" s="130">
        <v>9</v>
      </c>
      <c r="C202" s="130">
        <v>18.296666666666667</v>
      </c>
      <c r="D202" s="141">
        <v>79.399999999999991</v>
      </c>
      <c r="E202" s="131">
        <v>28.3</v>
      </c>
      <c r="F202" s="131">
        <v>47.5</v>
      </c>
      <c r="G202" s="131">
        <v>56.400000000000006</v>
      </c>
      <c r="H202" s="131">
        <v>22.1</v>
      </c>
      <c r="I202" s="131">
        <v>90.999999999999986</v>
      </c>
      <c r="J202" s="131">
        <v>4.8000000000000007</v>
      </c>
      <c r="K202" s="131">
        <v>133.70000000000002</v>
      </c>
      <c r="L202" s="131">
        <v>0.59999999999999964</v>
      </c>
      <c r="M202" s="131">
        <v>189.50000000000003</v>
      </c>
      <c r="N202" s="131">
        <v>0</v>
      </c>
      <c r="O202" s="131">
        <v>248.90000000000003</v>
      </c>
      <c r="P202" s="131">
        <v>0</v>
      </c>
      <c r="Q202" s="131">
        <v>308.89999999999992</v>
      </c>
      <c r="R202" s="145">
        <f>Purchases!D142</f>
        <v>19459266.670000002</v>
      </c>
      <c r="S202" s="128">
        <f ca="1">Data!G82</f>
        <v>20211497.701528165</v>
      </c>
      <c r="T202" s="127">
        <f ca="1">Data!I82</f>
        <v>14663111.569808166</v>
      </c>
      <c r="U202" s="129">
        <f t="shared" si="98"/>
        <v>14870832.754131565</v>
      </c>
      <c r="V202" s="145">
        <f t="shared" si="95"/>
        <v>19919042.048562255</v>
      </c>
      <c r="W202" s="145">
        <f t="shared" si="96"/>
        <v>19817518.698529795</v>
      </c>
      <c r="X202" s="129">
        <f t="shared" si="97"/>
        <v>19878957.971955784</v>
      </c>
      <c r="Y202" s="128"/>
      <c r="Z202" s="128"/>
    </row>
    <row r="203" spans="1:26" x14ac:dyDescent="0.2">
      <c r="A203" s="127">
        <v>2017</v>
      </c>
      <c r="B203" s="130">
        <v>10</v>
      </c>
      <c r="C203" s="130">
        <v>13.496774193548386</v>
      </c>
      <c r="D203" s="141">
        <v>206</v>
      </c>
      <c r="E203" s="131">
        <v>4.4000000000000021</v>
      </c>
      <c r="F203" s="131">
        <v>151.59999999999997</v>
      </c>
      <c r="G203" s="131">
        <v>12.000000000000004</v>
      </c>
      <c r="H203" s="131">
        <v>105.10000000000001</v>
      </c>
      <c r="I203" s="131">
        <v>27.5</v>
      </c>
      <c r="J203" s="131">
        <v>71</v>
      </c>
      <c r="K203" s="131">
        <v>55.4</v>
      </c>
      <c r="L203" s="131">
        <v>45</v>
      </c>
      <c r="M203" s="131">
        <v>91.399999999999991</v>
      </c>
      <c r="N203" s="131">
        <v>27.4</v>
      </c>
      <c r="O203" s="131">
        <v>135.79999999999998</v>
      </c>
      <c r="P203" s="131">
        <v>15.099999999999998</v>
      </c>
      <c r="Q203" s="131">
        <v>185.49999999999997</v>
      </c>
      <c r="R203" s="145">
        <f>Purchases!D143</f>
        <v>17820433.329999998</v>
      </c>
      <c r="S203" s="128">
        <f ca="1">Data!G83</f>
        <v>18586072.364519604</v>
      </c>
      <c r="T203" s="127">
        <f ca="1">Data!I83</f>
        <v>13940408.447879603</v>
      </c>
      <c r="U203" s="129">
        <f t="shared" si="98"/>
        <v>13222016.749371624</v>
      </c>
      <c r="V203" s="145">
        <f t="shared" si="95"/>
        <v>17979926.733509589</v>
      </c>
      <c r="W203" s="145">
        <f t="shared" si="96"/>
        <v>18126143.688046113</v>
      </c>
      <c r="X203" s="129">
        <f t="shared" si="97"/>
        <v>17994871.274028961</v>
      </c>
      <c r="Y203" s="128"/>
      <c r="Z203" s="128"/>
    </row>
    <row r="204" spans="1:26" x14ac:dyDescent="0.2">
      <c r="A204" s="127">
        <v>2017</v>
      </c>
      <c r="B204" s="130">
        <v>11</v>
      </c>
      <c r="C204" s="130">
        <v>4.2066666666666661</v>
      </c>
      <c r="D204" s="141">
        <v>473.8</v>
      </c>
      <c r="E204" s="131">
        <v>0</v>
      </c>
      <c r="F204" s="131">
        <v>413.8</v>
      </c>
      <c r="G204" s="131">
        <v>0</v>
      </c>
      <c r="H204" s="131">
        <v>353.8</v>
      </c>
      <c r="I204" s="131">
        <v>0</v>
      </c>
      <c r="J204" s="131">
        <v>293.80000000000007</v>
      </c>
      <c r="K204" s="131">
        <v>0</v>
      </c>
      <c r="L204" s="131">
        <v>234.20000000000005</v>
      </c>
      <c r="M204" s="131">
        <v>0.40000000000000036</v>
      </c>
      <c r="N204" s="131">
        <v>177.9</v>
      </c>
      <c r="O204" s="131">
        <v>4.1000000000000014</v>
      </c>
      <c r="P204" s="131">
        <v>123.89999999999999</v>
      </c>
      <c r="Q204" s="131">
        <v>10.100000000000001</v>
      </c>
      <c r="R204" s="145">
        <f>Purchases!D144</f>
        <v>18956833.329999998</v>
      </c>
      <c r="S204" s="128">
        <f ca="1">Data!G84</f>
        <v>19735880.367511041</v>
      </c>
      <c r="T204" s="127">
        <f ca="1">Data!I84</f>
        <v>15393477.964011041</v>
      </c>
      <c r="U204" s="129">
        <f t="shared" si="98"/>
        <v>14811307.918868762</v>
      </c>
      <c r="V204" s="145">
        <f t="shared" si="95"/>
        <v>19645810.272988357</v>
      </c>
      <c r="W204" s="145">
        <f t="shared" si="96"/>
        <v>19932191.064557225</v>
      </c>
      <c r="X204" s="129">
        <f t="shared" si="97"/>
        <v>19681803.828422096</v>
      </c>
      <c r="Y204" s="128"/>
      <c r="Z204" s="128"/>
    </row>
    <row r="205" spans="1:26" x14ac:dyDescent="0.2">
      <c r="A205" s="127">
        <v>2017</v>
      </c>
      <c r="B205" s="130">
        <v>12</v>
      </c>
      <c r="C205" s="130">
        <v>-3.6774193548387095</v>
      </c>
      <c r="D205" s="141">
        <v>734.00000000000011</v>
      </c>
      <c r="E205" s="131">
        <v>0</v>
      </c>
      <c r="F205" s="131">
        <v>672.00000000000011</v>
      </c>
      <c r="G205" s="131">
        <v>0</v>
      </c>
      <c r="H205" s="131">
        <v>610.00000000000011</v>
      </c>
      <c r="I205" s="131">
        <v>0</v>
      </c>
      <c r="J205" s="131">
        <v>548.00000000000011</v>
      </c>
      <c r="K205" s="131">
        <v>0</v>
      </c>
      <c r="L205" s="131">
        <v>486.00000000000006</v>
      </c>
      <c r="M205" s="131">
        <v>0</v>
      </c>
      <c r="N205" s="131">
        <v>424.00000000000006</v>
      </c>
      <c r="O205" s="131">
        <v>0</v>
      </c>
      <c r="P205" s="131">
        <v>362.00000000000006</v>
      </c>
      <c r="Q205" s="131">
        <v>0</v>
      </c>
      <c r="R205" s="145">
        <f>Purchases!D145</f>
        <v>21888466.670000002</v>
      </c>
      <c r="S205" s="128">
        <f ca="1">Data!G85</f>
        <v>22680921.710502487</v>
      </c>
      <c r="T205" s="127">
        <f ca="1">Data!I85</f>
        <v>17915940.354152486</v>
      </c>
      <c r="U205" s="129">
        <f t="shared" si="98"/>
        <v>17115419.687562387</v>
      </c>
      <c r="V205" s="145">
        <f t="shared" si="95"/>
        <v>22663126.879705764</v>
      </c>
      <c r="W205" s="145">
        <f t="shared" si="96"/>
        <v>22428729.709865768</v>
      </c>
      <c r="X205" s="129">
        <f t="shared" si="97"/>
        <v>22658270.536482468</v>
      </c>
      <c r="Y205" s="128"/>
      <c r="Z205" s="128"/>
    </row>
    <row r="206" spans="1:26" x14ac:dyDescent="0.2">
      <c r="A206" s="127">
        <v>2018</v>
      </c>
      <c r="B206" s="130">
        <v>1</v>
      </c>
      <c r="C206" s="130">
        <v>-4.7612903225806438</v>
      </c>
      <c r="D206" s="141">
        <v>767.60000000000014</v>
      </c>
      <c r="E206" s="131">
        <v>0</v>
      </c>
      <c r="F206" s="131">
        <v>705.60000000000014</v>
      </c>
      <c r="G206" s="131">
        <v>0</v>
      </c>
      <c r="H206" s="131">
        <v>643.6</v>
      </c>
      <c r="I206" s="131">
        <v>0</v>
      </c>
      <c r="J206" s="131">
        <v>581.6</v>
      </c>
      <c r="K206" s="131">
        <v>0</v>
      </c>
      <c r="L206" s="131">
        <v>519.59999999999991</v>
      </c>
      <c r="M206" s="131">
        <v>0</v>
      </c>
      <c r="N206" s="131">
        <v>457.59999999999985</v>
      </c>
      <c r="O206" s="131">
        <v>0</v>
      </c>
      <c r="P206" s="131">
        <v>396.89999999999986</v>
      </c>
      <c r="Q206" s="131">
        <v>1.3000000000000007</v>
      </c>
      <c r="R206" s="145">
        <f>Purchases!D146</f>
        <v>22905166.670000002</v>
      </c>
      <c r="S206" s="128">
        <f ca="1">Data!G86</f>
        <v>23743222.716993935</v>
      </c>
      <c r="T206" s="127">
        <f ca="1">Data!I86</f>
        <v>17591390.139043935</v>
      </c>
      <c r="U206" s="129">
        <f t="shared" si="98"/>
        <v>17417598.280177943</v>
      </c>
      <c r="V206" s="145">
        <f t="shared" si="95"/>
        <v>23058840.533045746</v>
      </c>
      <c r="W206" s="145">
        <f t="shared" si="96"/>
        <v>22753608.480130553</v>
      </c>
      <c r="X206" s="129">
        <f t="shared" si="97"/>
        <v>23045603.152248651</v>
      </c>
      <c r="Y206" s="128"/>
      <c r="Z206" s="128"/>
    </row>
    <row r="207" spans="1:26" x14ac:dyDescent="0.2">
      <c r="A207" s="127">
        <v>2018</v>
      </c>
      <c r="B207" s="130">
        <v>2</v>
      </c>
      <c r="C207" s="130">
        <v>-1.4464285714285716</v>
      </c>
      <c r="D207" s="141">
        <v>600.5</v>
      </c>
      <c r="E207" s="131">
        <v>0</v>
      </c>
      <c r="F207" s="131">
        <v>544.49999999999989</v>
      </c>
      <c r="G207" s="131">
        <v>0</v>
      </c>
      <c r="H207" s="131">
        <v>488.49999999999994</v>
      </c>
      <c r="I207" s="131">
        <v>0</v>
      </c>
      <c r="J207" s="131">
        <v>432.49999999999994</v>
      </c>
      <c r="K207" s="131">
        <v>0</v>
      </c>
      <c r="L207" s="131">
        <v>377.5</v>
      </c>
      <c r="M207" s="131">
        <v>1</v>
      </c>
      <c r="N207" s="131">
        <v>323.5</v>
      </c>
      <c r="O207" s="131">
        <v>3</v>
      </c>
      <c r="P207" s="131">
        <v>270.39999999999998</v>
      </c>
      <c r="Q207" s="131">
        <v>5.9</v>
      </c>
      <c r="R207" s="145">
        <f>Purchases!D147</f>
        <v>19173200</v>
      </c>
      <c r="S207" s="128">
        <f ca="1">Data!G87</f>
        <v>20012112.80951703</v>
      </c>
      <c r="T207" s="127">
        <f ca="1">Data!I87</f>
        <v>13571468.80215703</v>
      </c>
      <c r="U207" s="129">
        <f t="shared" si="98"/>
        <v>16022720.312479343</v>
      </c>
      <c r="V207" s="145">
        <f t="shared" si="95"/>
        <v>21232198.043967411</v>
      </c>
      <c r="W207" s="145">
        <f t="shared" si="96"/>
        <v>21195930.80484315</v>
      </c>
      <c r="X207" s="129">
        <f t="shared" si="97"/>
        <v>21188481.59272686</v>
      </c>
      <c r="Y207" s="128"/>
      <c r="Z207" s="128"/>
    </row>
    <row r="208" spans="1:26" x14ac:dyDescent="0.2">
      <c r="A208" s="127">
        <v>2018</v>
      </c>
      <c r="B208" s="130">
        <v>3</v>
      </c>
      <c r="C208" s="130">
        <v>0.76129032258064511</v>
      </c>
      <c r="D208" s="141">
        <v>596.4</v>
      </c>
      <c r="E208" s="131">
        <v>0</v>
      </c>
      <c r="F208" s="131">
        <v>534.40000000000009</v>
      </c>
      <c r="G208" s="131">
        <v>0</v>
      </c>
      <c r="H208" s="131">
        <v>472.40000000000003</v>
      </c>
      <c r="I208" s="131">
        <v>0</v>
      </c>
      <c r="J208" s="131">
        <v>410.40000000000009</v>
      </c>
      <c r="K208" s="131">
        <v>0</v>
      </c>
      <c r="L208" s="131">
        <v>348.40000000000009</v>
      </c>
      <c r="M208" s="131">
        <v>0</v>
      </c>
      <c r="N208" s="131">
        <v>286.40000000000003</v>
      </c>
      <c r="O208" s="131">
        <v>0</v>
      </c>
      <c r="P208" s="131">
        <v>224.4</v>
      </c>
      <c r="Q208" s="131">
        <v>0</v>
      </c>
      <c r="R208" s="145">
        <f>Purchases!D148</f>
        <v>19615300</v>
      </c>
      <c r="S208" s="128">
        <f ca="1">Data!G88</f>
        <v>20455069.572040129</v>
      </c>
      <c r="T208" s="127">
        <f ca="1">Data!I88</f>
        <v>15242457.00136013</v>
      </c>
      <c r="U208" s="129">
        <f t="shared" si="98"/>
        <v>15877926.403517723</v>
      </c>
      <c r="V208" s="145">
        <f t="shared" si="95"/>
        <v>21042585.251742005</v>
      </c>
      <c r="W208" s="145">
        <f t="shared" si="96"/>
        <v>21098273.79354332</v>
      </c>
      <c r="X208" s="129">
        <f t="shared" si="97"/>
        <v>21072051.252868574</v>
      </c>
      <c r="Y208" s="128"/>
      <c r="Z208" s="128"/>
    </row>
    <row r="209" spans="1:26" x14ac:dyDescent="0.2">
      <c r="A209" s="127">
        <v>2018</v>
      </c>
      <c r="B209" s="130">
        <v>4</v>
      </c>
      <c r="C209" s="130">
        <v>4.8133333333333344</v>
      </c>
      <c r="D209" s="141">
        <v>455.59999999999997</v>
      </c>
      <c r="E209" s="131">
        <v>0</v>
      </c>
      <c r="F209" s="131">
        <v>395.6</v>
      </c>
      <c r="G209" s="131">
        <v>0</v>
      </c>
      <c r="H209" s="131">
        <v>335.59999999999997</v>
      </c>
      <c r="I209" s="131">
        <v>0</v>
      </c>
      <c r="J209" s="131">
        <v>275.70000000000005</v>
      </c>
      <c r="K209" s="131">
        <v>9.9999999999999645E-2</v>
      </c>
      <c r="L209" s="131">
        <v>217.89999999999998</v>
      </c>
      <c r="M209" s="131">
        <v>2.2999999999999989</v>
      </c>
      <c r="N209" s="131">
        <v>165</v>
      </c>
      <c r="O209" s="131">
        <v>9.4</v>
      </c>
      <c r="P209" s="131">
        <v>116.89999999999999</v>
      </c>
      <c r="Q209" s="131">
        <v>21.3</v>
      </c>
      <c r="R209" s="145">
        <f>Purchases!D149</f>
        <v>17899266.670000002</v>
      </c>
      <c r="S209" s="128">
        <f ca="1">Data!G89</f>
        <v>18739893.004563231</v>
      </c>
      <c r="T209" s="127">
        <f ca="1">Data!I89</f>
        <v>13461592.841903232</v>
      </c>
      <c r="U209" s="129">
        <f t="shared" si="98"/>
        <v>14647627.847868668</v>
      </c>
      <c r="V209" s="145">
        <f t="shared" si="95"/>
        <v>19431465.377429198</v>
      </c>
      <c r="W209" s="145">
        <f t="shared" si="96"/>
        <v>19756215.063997131</v>
      </c>
      <c r="X209" s="129">
        <f t="shared" si="97"/>
        <v>19471998.661548745</v>
      </c>
      <c r="Y209" s="128"/>
      <c r="Z209" s="128"/>
    </row>
    <row r="210" spans="1:26" x14ac:dyDescent="0.2">
      <c r="A210" s="127">
        <v>2018</v>
      </c>
      <c r="B210" s="130">
        <v>5</v>
      </c>
      <c r="C210" s="130">
        <v>17.580645161290327</v>
      </c>
      <c r="D210" s="141">
        <v>105.4</v>
      </c>
      <c r="E210" s="131">
        <v>30.400000000000006</v>
      </c>
      <c r="F210" s="131">
        <v>62.900000000000006</v>
      </c>
      <c r="G210" s="131">
        <v>49.900000000000006</v>
      </c>
      <c r="H210" s="131">
        <v>33.099999999999994</v>
      </c>
      <c r="I210" s="131">
        <v>82.1</v>
      </c>
      <c r="J210" s="131">
        <v>16.699999999999996</v>
      </c>
      <c r="K210" s="131">
        <v>127.69999999999999</v>
      </c>
      <c r="L210" s="131">
        <v>9.1</v>
      </c>
      <c r="M210" s="131">
        <v>182.1</v>
      </c>
      <c r="N210" s="131">
        <v>4.7</v>
      </c>
      <c r="O210" s="131">
        <v>239.70000000000002</v>
      </c>
      <c r="P210" s="131">
        <v>1.2000000000000002</v>
      </c>
      <c r="Q210" s="131">
        <v>298.20000000000005</v>
      </c>
      <c r="R210" s="145">
        <f>Purchases!D150</f>
        <v>18615766.670000002</v>
      </c>
      <c r="S210" s="128">
        <f ca="1">Data!G90</f>
        <v>19457249.767086331</v>
      </c>
      <c r="T210" s="127">
        <f ca="1">Data!I90</f>
        <v>14722540.35638633</v>
      </c>
      <c r="U210" s="129">
        <f t="shared" si="98"/>
        <v>14619101.508473702</v>
      </c>
      <c r="V210" s="145">
        <f t="shared" si="95"/>
        <v>19639804.734783847</v>
      </c>
      <c r="W210" s="145">
        <f t="shared" si="96"/>
        <v>19571455.840426344</v>
      </c>
      <c r="X210" s="129">
        <f t="shared" si="97"/>
        <v>19624222.071894154</v>
      </c>
      <c r="Y210" s="128"/>
      <c r="Z210" s="128"/>
    </row>
    <row r="211" spans="1:26" x14ac:dyDescent="0.2">
      <c r="A211" s="127">
        <v>2018</v>
      </c>
      <c r="B211" s="130">
        <v>6</v>
      </c>
      <c r="C211" s="130">
        <v>20.876666666666669</v>
      </c>
      <c r="D211" s="141">
        <v>25.500000000000004</v>
      </c>
      <c r="E211" s="131">
        <v>51.8</v>
      </c>
      <c r="F211" s="131">
        <v>7.6000000000000014</v>
      </c>
      <c r="G211" s="131">
        <v>93.9</v>
      </c>
      <c r="H211" s="131">
        <v>2.5</v>
      </c>
      <c r="I211" s="131">
        <v>148.80000000000001</v>
      </c>
      <c r="J211" s="131">
        <v>0</v>
      </c>
      <c r="K211" s="131">
        <v>206.29999999999998</v>
      </c>
      <c r="L211" s="131">
        <v>0</v>
      </c>
      <c r="M211" s="131">
        <v>266.29999999999995</v>
      </c>
      <c r="N211" s="131">
        <v>0</v>
      </c>
      <c r="O211" s="131">
        <v>326.29999999999995</v>
      </c>
      <c r="P211" s="131">
        <v>0</v>
      </c>
      <c r="Q211" s="131">
        <v>386.29999999999995</v>
      </c>
      <c r="R211" s="145">
        <f>Purchases!D151</f>
        <v>21326300</v>
      </c>
      <c r="S211" s="128">
        <f ca="1">Data!G91</f>
        <v>22168639.859609425</v>
      </c>
      <c r="T211" s="127">
        <f ca="1">Data!I91</f>
        <v>17577510.036389425</v>
      </c>
      <c r="U211" s="129">
        <f t="shared" si="98"/>
        <v>16717593.222463079</v>
      </c>
      <c r="V211" s="145">
        <f t="shared" si="95"/>
        <v>22343024.303269692</v>
      </c>
      <c r="W211" s="145">
        <f t="shared" si="96"/>
        <v>21710373.011579659</v>
      </c>
      <c r="X211" s="129">
        <f t="shared" si="97"/>
        <v>22226283.813156832</v>
      </c>
      <c r="Y211" s="128"/>
      <c r="Z211" s="128"/>
    </row>
    <row r="212" spans="1:26" x14ac:dyDescent="0.2">
      <c r="A212" s="127">
        <v>2018</v>
      </c>
      <c r="B212" s="130">
        <v>7</v>
      </c>
      <c r="C212" s="130">
        <v>23.261290322580646</v>
      </c>
      <c r="D212" s="141">
        <v>2.5</v>
      </c>
      <c r="E212" s="131">
        <v>103.60000000000002</v>
      </c>
      <c r="F212" s="131">
        <v>0.19999999999999929</v>
      </c>
      <c r="G212" s="131">
        <v>163.30000000000001</v>
      </c>
      <c r="H212" s="131">
        <v>0</v>
      </c>
      <c r="I212" s="131">
        <v>225.1</v>
      </c>
      <c r="J212" s="131">
        <v>0</v>
      </c>
      <c r="K212" s="131">
        <v>287.10000000000008</v>
      </c>
      <c r="L212" s="131">
        <v>0</v>
      </c>
      <c r="M212" s="131">
        <v>349.10000000000008</v>
      </c>
      <c r="N212" s="131">
        <v>0</v>
      </c>
      <c r="O212" s="131">
        <v>411.10000000000014</v>
      </c>
      <c r="P212" s="131">
        <v>0</v>
      </c>
      <c r="Q212" s="131">
        <v>473.10000000000014</v>
      </c>
      <c r="R212" s="145">
        <f>Purchases!D152</f>
        <v>25954933.329999998</v>
      </c>
      <c r="S212" s="128">
        <f ca="1">Data!G92</f>
        <v>26798129.952132523</v>
      </c>
      <c r="T212" s="127">
        <f ca="1">Data!I92</f>
        <v>21367705.480732523</v>
      </c>
      <c r="U212" s="129">
        <f t="shared" si="98"/>
        <v>20439066.314713743</v>
      </c>
      <c r="V212" s="145">
        <f t="shared" si="95"/>
        <v>25818121.136632696</v>
      </c>
      <c r="W212" s="145">
        <f t="shared" si="96"/>
        <v>25855839.956169434</v>
      </c>
      <c r="X212" s="129">
        <f t="shared" si="97"/>
        <v>25846786.676898226</v>
      </c>
      <c r="Y212" s="128"/>
      <c r="Z212" s="128"/>
    </row>
    <row r="213" spans="1:26" x14ac:dyDescent="0.2">
      <c r="A213" s="127">
        <v>2018</v>
      </c>
      <c r="B213" s="130">
        <v>8</v>
      </c>
      <c r="C213" s="130">
        <v>23.154838709677417</v>
      </c>
      <c r="D213" s="141">
        <v>2.8999999999999986</v>
      </c>
      <c r="E213" s="131">
        <v>100.7</v>
      </c>
      <c r="F213" s="131">
        <v>0</v>
      </c>
      <c r="G213" s="131">
        <v>159.80000000000001</v>
      </c>
      <c r="H213" s="131">
        <v>0</v>
      </c>
      <c r="I213" s="131">
        <v>221.79999999999995</v>
      </c>
      <c r="J213" s="131">
        <v>0</v>
      </c>
      <c r="K213" s="131">
        <v>283.79999999999995</v>
      </c>
      <c r="L213" s="131">
        <v>0</v>
      </c>
      <c r="M213" s="131">
        <v>345.79999999999995</v>
      </c>
      <c r="N213" s="131">
        <v>0</v>
      </c>
      <c r="O213" s="131">
        <v>407.8</v>
      </c>
      <c r="P213" s="131">
        <v>0</v>
      </c>
      <c r="Q213" s="131">
        <v>469.8</v>
      </c>
      <c r="R213" s="145">
        <f>Purchases!D153</f>
        <v>26266700</v>
      </c>
      <c r="S213" s="128">
        <f ca="1">Data!G93</f>
        <v>27110753.384655625</v>
      </c>
      <c r="T213" s="127">
        <f ca="1">Data!I93</f>
        <v>20251129.819335625</v>
      </c>
      <c r="U213" s="129">
        <f t="shared" si="98"/>
        <v>20250250.058738176</v>
      </c>
      <c r="V213" s="145">
        <f t="shared" si="95"/>
        <v>25666548.641421378</v>
      </c>
      <c r="W213" s="145">
        <f t="shared" si="96"/>
        <v>25641232.354376476</v>
      </c>
      <c r="X213" s="129">
        <f t="shared" si="97"/>
        <v>25684203.704091456</v>
      </c>
      <c r="Y213" s="128"/>
      <c r="Z213" s="128"/>
    </row>
    <row r="214" spans="1:26" x14ac:dyDescent="0.2">
      <c r="A214" s="127">
        <v>2018</v>
      </c>
      <c r="B214" s="130">
        <v>9</v>
      </c>
      <c r="C214" s="130">
        <v>19.463333333333335</v>
      </c>
      <c r="D214" s="141">
        <v>69.3</v>
      </c>
      <c r="E214" s="131">
        <v>53.199999999999996</v>
      </c>
      <c r="F214" s="131">
        <v>41.400000000000006</v>
      </c>
      <c r="G214" s="131">
        <v>85.300000000000011</v>
      </c>
      <c r="H214" s="131">
        <v>21.2</v>
      </c>
      <c r="I214" s="131">
        <v>125.1</v>
      </c>
      <c r="J214" s="131">
        <v>7.4000000000000021</v>
      </c>
      <c r="K214" s="131">
        <v>171.29999999999995</v>
      </c>
      <c r="L214" s="131">
        <v>0.30000000000000071</v>
      </c>
      <c r="M214" s="131">
        <v>224.19999999999996</v>
      </c>
      <c r="N214" s="131">
        <v>0</v>
      </c>
      <c r="O214" s="131">
        <v>283.89999999999992</v>
      </c>
      <c r="P214" s="131">
        <v>0</v>
      </c>
      <c r="Q214" s="131">
        <v>343.9</v>
      </c>
      <c r="R214" s="145">
        <f>Purchases!D154</f>
        <v>21262033.329999998</v>
      </c>
      <c r="S214" s="128">
        <f ca="1">Data!G94</f>
        <v>22106943.477178719</v>
      </c>
      <c r="T214" s="127">
        <f ca="1">Data!I94</f>
        <v>15230610.440838721</v>
      </c>
      <c r="U214" s="129">
        <f t="shared" si="98"/>
        <v>16421821.484027609</v>
      </c>
      <c r="V214" s="145">
        <f t="shared" si="95"/>
        <v>21474691.692888524</v>
      </c>
      <c r="W214" s="145">
        <f t="shared" si="96"/>
        <v>21514615.676486857</v>
      </c>
      <c r="X214" s="129">
        <f t="shared" si="97"/>
        <v>21464838.680182524</v>
      </c>
      <c r="Y214" s="128"/>
      <c r="Z214" s="128"/>
    </row>
    <row r="215" spans="1:26" x14ac:dyDescent="0.2">
      <c r="A215" s="127">
        <v>2018</v>
      </c>
      <c r="B215" s="130">
        <v>10</v>
      </c>
      <c r="C215" s="130">
        <v>10.816129032258065</v>
      </c>
      <c r="D215" s="141">
        <v>294.60000000000002</v>
      </c>
      <c r="E215" s="131">
        <v>9.8999999999999986</v>
      </c>
      <c r="F215" s="131">
        <v>242.29999999999998</v>
      </c>
      <c r="G215" s="131">
        <v>19.600000000000001</v>
      </c>
      <c r="H215" s="131">
        <v>192.49999999999997</v>
      </c>
      <c r="I215" s="131">
        <v>31.8</v>
      </c>
      <c r="J215" s="131">
        <v>145.99999999999997</v>
      </c>
      <c r="K215" s="131">
        <v>47.3</v>
      </c>
      <c r="L215" s="131">
        <v>104.00000000000001</v>
      </c>
      <c r="M215" s="131">
        <v>67.3</v>
      </c>
      <c r="N215" s="131">
        <v>64</v>
      </c>
      <c r="O215" s="131">
        <v>89.3</v>
      </c>
      <c r="P215" s="131">
        <v>29.499999999999996</v>
      </c>
      <c r="Q215" s="131">
        <v>116.79999999999998</v>
      </c>
      <c r="R215" s="145">
        <f>Purchases!D155</f>
        <v>18523233.329999998</v>
      </c>
      <c r="S215" s="128">
        <f ca="1">Data!G95</f>
        <v>19369000.239701819</v>
      </c>
      <c r="T215" s="127">
        <f ca="1">Data!I95</f>
        <v>13933937.997241817</v>
      </c>
      <c r="U215" s="129">
        <f t="shared" si="98"/>
        <v>14418041.839567367</v>
      </c>
      <c r="V215" s="145">
        <f t="shared" si="95"/>
        <v>19206756.874242365</v>
      </c>
      <c r="W215" s="145">
        <f t="shared" si="96"/>
        <v>19464928.952362463</v>
      </c>
      <c r="X215" s="129">
        <f t="shared" si="97"/>
        <v>19249285.118604526</v>
      </c>
      <c r="Y215" s="128"/>
      <c r="Z215" s="128"/>
    </row>
    <row r="216" spans="1:26" x14ac:dyDescent="0.2">
      <c r="A216" s="127">
        <v>2018</v>
      </c>
      <c r="B216" s="130">
        <v>11</v>
      </c>
      <c r="C216" s="130">
        <v>1.8466666666666669</v>
      </c>
      <c r="D216" s="141">
        <v>544.6</v>
      </c>
      <c r="E216" s="131">
        <v>0</v>
      </c>
      <c r="F216" s="131">
        <v>484.60000000000008</v>
      </c>
      <c r="G216" s="131">
        <v>0</v>
      </c>
      <c r="H216" s="131">
        <v>424.60000000000014</v>
      </c>
      <c r="I216" s="131">
        <v>0</v>
      </c>
      <c r="J216" s="131">
        <v>364.60000000000008</v>
      </c>
      <c r="K216" s="131">
        <v>0</v>
      </c>
      <c r="L216" s="131">
        <v>304.60000000000002</v>
      </c>
      <c r="M216" s="131">
        <v>0</v>
      </c>
      <c r="N216" s="131">
        <v>245.09999999999997</v>
      </c>
      <c r="O216" s="131">
        <v>0.5</v>
      </c>
      <c r="P216" s="131">
        <v>189.1</v>
      </c>
      <c r="Q216" s="131">
        <v>4.5</v>
      </c>
      <c r="R216" s="145">
        <f>Purchases!D156</f>
        <v>19925200</v>
      </c>
      <c r="S216" s="128">
        <f ca="1">Data!G96</f>
        <v>20771823.67222492</v>
      </c>
      <c r="T216" s="127">
        <f ca="1">Data!I96</f>
        <v>16107052.38874492</v>
      </c>
      <c r="U216" s="129">
        <f t="shared" si="98"/>
        <v>15448041.381880116</v>
      </c>
      <c r="V216" s="145">
        <f t="shared" si="95"/>
        <v>20479635.471097618</v>
      </c>
      <c r="W216" s="145">
        <f t="shared" si="96"/>
        <v>20616757.044758018</v>
      </c>
      <c r="X216" s="129">
        <f t="shared" si="97"/>
        <v>20497968.983072266</v>
      </c>
      <c r="Y216" s="128"/>
      <c r="Z216" s="128"/>
    </row>
    <row r="217" spans="1:26" x14ac:dyDescent="0.2">
      <c r="A217" s="127">
        <v>2018</v>
      </c>
      <c r="B217" s="130">
        <v>12</v>
      </c>
      <c r="C217" s="130">
        <v>0.78064516129032258</v>
      </c>
      <c r="D217" s="141">
        <v>595.80000000000007</v>
      </c>
      <c r="E217" s="131">
        <v>0</v>
      </c>
      <c r="F217" s="131">
        <v>533.80000000000007</v>
      </c>
      <c r="G217" s="131">
        <v>0</v>
      </c>
      <c r="H217" s="131">
        <v>471.79999999999995</v>
      </c>
      <c r="I217" s="131">
        <v>0</v>
      </c>
      <c r="J217" s="131">
        <v>409.79999999999995</v>
      </c>
      <c r="K217" s="131">
        <v>0</v>
      </c>
      <c r="L217" s="131">
        <v>347.7999999999999</v>
      </c>
      <c r="M217" s="131">
        <v>0</v>
      </c>
      <c r="N217" s="131">
        <v>285.8</v>
      </c>
      <c r="O217" s="131">
        <v>0</v>
      </c>
      <c r="P217" s="131">
        <v>225.20000000000002</v>
      </c>
      <c r="Q217" s="131">
        <v>1.4000000000000004</v>
      </c>
      <c r="R217" s="145">
        <f>Purchases!D157</f>
        <v>21085833.329999998</v>
      </c>
      <c r="S217" s="128">
        <f ca="1">Data!G97</f>
        <v>21933313.764748015</v>
      </c>
      <c r="T217" s="127">
        <f ca="1">Data!I97</f>
        <v>16577541.964248015</v>
      </c>
      <c r="U217" s="129">
        <f t="shared" si="98"/>
        <v>15872530.357221015</v>
      </c>
      <c r="V217" s="145">
        <f t="shared" si="95"/>
        <v>21035518.93650379</v>
      </c>
      <c r="W217" s="145">
        <f t="shared" si="96"/>
        <v>21092472.386931449</v>
      </c>
      <c r="X217" s="129">
        <f t="shared" si="97"/>
        <v>21065134.599015608</v>
      </c>
      <c r="Y217" s="128"/>
      <c r="Z217" s="128"/>
    </row>
    <row r="218" spans="1:26" x14ac:dyDescent="0.2">
      <c r="A218" s="127">
        <v>2019</v>
      </c>
      <c r="B218" s="130">
        <v>1</v>
      </c>
      <c r="C218" s="130">
        <v>-4.9612903225806457</v>
      </c>
      <c r="D218" s="141">
        <v>773.8</v>
      </c>
      <c r="E218" s="131">
        <v>0</v>
      </c>
      <c r="F218" s="131">
        <v>711.8</v>
      </c>
      <c r="G218" s="131">
        <v>0</v>
      </c>
      <c r="H218" s="131">
        <v>649.79999999999995</v>
      </c>
      <c r="I218" s="131">
        <v>0</v>
      </c>
      <c r="J218" s="131">
        <v>587.79999999999995</v>
      </c>
      <c r="K218" s="131">
        <v>0</v>
      </c>
      <c r="L218" s="131">
        <v>525.79999999999995</v>
      </c>
      <c r="M218" s="131">
        <v>0</v>
      </c>
      <c r="N218" s="131">
        <v>463.8</v>
      </c>
      <c r="O218" s="131">
        <v>0</v>
      </c>
      <c r="P218" s="131">
        <v>401.8</v>
      </c>
      <c r="Q218" s="131">
        <v>0</v>
      </c>
      <c r="R218" s="145">
        <f>Purchases!D158</f>
        <v>22756420</v>
      </c>
      <c r="S218" s="128">
        <f ca="1">Data!G98</f>
        <v>23653212.234410089</v>
      </c>
      <c r="T218" s="127">
        <f ca="1">Data!I98</f>
        <v>17757430.689030088</v>
      </c>
      <c r="U218" s="129">
        <f t="shared" si="98"/>
        <v>17473357.425243907</v>
      </c>
      <c r="V218" s="145">
        <f t="shared" ref="V218:V241" si="99">$AL$118+H218*$AL$119+I218*$AL$120</f>
        <v>23131859.123840626</v>
      </c>
      <c r="W218" s="145">
        <f t="shared" ref="W218:W241" si="100">$AL$134+F218*$AL$135+G218*$AL$136</f>
        <v>22813556.348453216</v>
      </c>
      <c r="X218" s="129">
        <f t="shared" ref="X218:X241" si="101">$AL$150+F218*$AL$151+I218*$AL$152</f>
        <v>23117075.242062651</v>
      </c>
      <c r="Y218" s="128"/>
      <c r="Z218" s="128"/>
    </row>
    <row r="219" spans="1:26" x14ac:dyDescent="0.2">
      <c r="A219" s="127">
        <v>2019</v>
      </c>
      <c r="B219" s="130">
        <v>2</v>
      </c>
      <c r="C219" s="130">
        <v>-2.7464285714285714</v>
      </c>
      <c r="D219" s="141">
        <v>636.9000000000002</v>
      </c>
      <c r="E219" s="131">
        <v>0</v>
      </c>
      <c r="F219" s="131">
        <v>580.90000000000009</v>
      </c>
      <c r="G219" s="131">
        <v>0</v>
      </c>
      <c r="H219" s="131">
        <v>524.90000000000009</v>
      </c>
      <c r="I219" s="131">
        <v>0</v>
      </c>
      <c r="J219" s="131">
        <v>468.9</v>
      </c>
      <c r="K219" s="131">
        <v>0</v>
      </c>
      <c r="L219" s="131">
        <v>412.90000000000003</v>
      </c>
      <c r="M219" s="131">
        <v>0</v>
      </c>
      <c r="N219" s="131">
        <v>356.90000000000003</v>
      </c>
      <c r="O219" s="131">
        <v>0</v>
      </c>
      <c r="P219" s="131">
        <v>300.90000000000003</v>
      </c>
      <c r="Q219" s="131">
        <v>0</v>
      </c>
      <c r="R219" s="145">
        <f>Purchases!D159</f>
        <v>20319680</v>
      </c>
      <c r="S219" s="128">
        <f ca="1">Data!G99</f>
        <v>21218276.212864008</v>
      </c>
      <c r="T219" s="127">
        <f ca="1">Data!I99</f>
        <v>14873849.313004009</v>
      </c>
      <c r="U219" s="129">
        <f t="shared" si="98"/>
        <v>16350080.45447953</v>
      </c>
      <c r="V219" s="145">
        <f t="shared" si="99"/>
        <v>21660887.835085735</v>
      </c>
      <c r="W219" s="145">
        <f t="shared" si="100"/>
        <v>21547882.805963334</v>
      </c>
      <c r="X219" s="129">
        <f t="shared" si="101"/>
        <v>21608091.926473562</v>
      </c>
      <c r="Y219" s="128"/>
      <c r="Z219" s="128"/>
    </row>
    <row r="220" spans="1:26" x14ac:dyDescent="0.2">
      <c r="A220" s="127">
        <v>2019</v>
      </c>
      <c r="B220" s="130">
        <v>3</v>
      </c>
      <c r="C220" s="130">
        <v>0.27741935483871</v>
      </c>
      <c r="D220" s="141">
        <v>611.39999999999986</v>
      </c>
      <c r="E220" s="131">
        <v>0</v>
      </c>
      <c r="F220" s="131">
        <v>549.4</v>
      </c>
      <c r="G220" s="131">
        <v>0</v>
      </c>
      <c r="H220" s="131">
        <v>487.4</v>
      </c>
      <c r="I220" s="131">
        <v>0</v>
      </c>
      <c r="J220" s="131">
        <v>425.39999999999992</v>
      </c>
      <c r="K220" s="131">
        <v>0</v>
      </c>
      <c r="L220" s="131">
        <v>363.4</v>
      </c>
      <c r="M220" s="131">
        <v>0</v>
      </c>
      <c r="N220" s="131">
        <v>302.7</v>
      </c>
      <c r="O220" s="131">
        <v>1.3000000000000007</v>
      </c>
      <c r="P220" s="131">
        <v>244.70000000000002</v>
      </c>
      <c r="Q220" s="131">
        <v>5.3000000000000007</v>
      </c>
      <c r="R220" s="145">
        <f>Purchases!D160</f>
        <v>20479900</v>
      </c>
      <c r="S220" s="128">
        <f ca="1">Data!G100</f>
        <v>21380300.191317927</v>
      </c>
      <c r="T220" s="127">
        <f ca="1">Data!I100</f>
        <v>15750595.661637928</v>
      </c>
      <c r="U220" s="129">
        <f t="shared" si="98"/>
        <v>16012827.560935382</v>
      </c>
      <c r="V220" s="145">
        <f t="shared" si="99"/>
        <v>21219243.132697355</v>
      </c>
      <c r="W220" s="145">
        <f t="shared" si="100"/>
        <v>21243308.958840098</v>
      </c>
      <c r="X220" s="129">
        <f t="shared" si="101"/>
        <v>21244967.599192761</v>
      </c>
      <c r="Y220" s="128"/>
      <c r="Z220" s="128"/>
    </row>
    <row r="221" spans="1:26" x14ac:dyDescent="0.2">
      <c r="A221" s="127">
        <v>2019</v>
      </c>
      <c r="B221" s="130">
        <v>4</v>
      </c>
      <c r="C221" s="130">
        <v>8.7199999999999989</v>
      </c>
      <c r="D221" s="141">
        <v>338.39999999999992</v>
      </c>
      <c r="E221" s="131">
        <v>0</v>
      </c>
      <c r="F221" s="131">
        <v>278.40000000000003</v>
      </c>
      <c r="G221" s="131">
        <v>0</v>
      </c>
      <c r="H221" s="131">
        <v>218.8</v>
      </c>
      <c r="I221" s="131">
        <v>0.39999999999999858</v>
      </c>
      <c r="J221" s="131">
        <v>162.30000000000001</v>
      </c>
      <c r="K221" s="131">
        <v>3.8999999999999986</v>
      </c>
      <c r="L221" s="131">
        <v>109.80000000000001</v>
      </c>
      <c r="M221" s="131">
        <v>11.399999999999999</v>
      </c>
      <c r="N221" s="131">
        <v>69.2</v>
      </c>
      <c r="O221" s="131">
        <v>30.799999999999997</v>
      </c>
      <c r="P221" s="131">
        <v>38.5</v>
      </c>
      <c r="Q221" s="131">
        <v>60.100000000000009</v>
      </c>
      <c r="R221" s="145">
        <f>Purchases!D161</f>
        <v>17330880</v>
      </c>
      <c r="S221" s="128">
        <f ca="1">Data!G101</f>
        <v>18233084.169771846</v>
      </c>
      <c r="T221" s="127">
        <f ca="1">Data!I101</f>
        <v>12682157.212411847</v>
      </c>
      <c r="U221" s="129">
        <f t="shared" si="98"/>
        <v>13597197.502109826</v>
      </c>
      <c r="V221" s="145">
        <f t="shared" si="99"/>
        <v>18074261.768052172</v>
      </c>
      <c r="W221" s="145">
        <f t="shared" si="100"/>
        <v>18623006.972478304</v>
      </c>
      <c r="X221" s="129">
        <f t="shared" si="101"/>
        <v>18140373.175180893</v>
      </c>
      <c r="Y221" s="128"/>
      <c r="Z221" s="128"/>
    </row>
    <row r="222" spans="1:26" x14ac:dyDescent="0.2">
      <c r="A222" s="127">
        <v>2019</v>
      </c>
      <c r="B222" s="130">
        <v>5</v>
      </c>
      <c r="C222" s="130">
        <v>13.835483870967741</v>
      </c>
      <c r="D222" s="141">
        <v>194.20000000000002</v>
      </c>
      <c r="E222" s="131">
        <v>3.1000000000000014</v>
      </c>
      <c r="F222" s="131">
        <v>139.50000000000006</v>
      </c>
      <c r="G222" s="131">
        <v>10.400000000000002</v>
      </c>
      <c r="H222" s="131">
        <v>89.4</v>
      </c>
      <c r="I222" s="131">
        <v>22.3</v>
      </c>
      <c r="J222" s="131">
        <v>52.599999999999994</v>
      </c>
      <c r="K222" s="131">
        <v>47.5</v>
      </c>
      <c r="L222" s="131">
        <v>26.499999999999996</v>
      </c>
      <c r="M222" s="131">
        <v>83.399999999999991</v>
      </c>
      <c r="N222" s="131">
        <v>9.5</v>
      </c>
      <c r="O222" s="131">
        <v>128.39999999999998</v>
      </c>
      <c r="P222" s="131">
        <v>1.6000000000000005</v>
      </c>
      <c r="Q222" s="131">
        <v>182.50000000000003</v>
      </c>
      <c r="R222" s="145">
        <f>Purchases!D162</f>
        <v>17274480</v>
      </c>
      <c r="S222" s="128">
        <f ca="1">Data!G102</f>
        <v>18178488.148225766</v>
      </c>
      <c r="T222" s="127">
        <f ca="1">Data!I102</f>
        <v>13694494.181105766</v>
      </c>
      <c r="U222" s="129">
        <f t="shared" si="98"/>
        <v>12994504.201876119</v>
      </c>
      <c r="V222" s="145">
        <f t="shared" si="99"/>
        <v>17556183.310503945</v>
      </c>
      <c r="W222" s="145">
        <f t="shared" si="100"/>
        <v>17911926.34632317</v>
      </c>
      <c r="X222" s="129">
        <f t="shared" si="101"/>
        <v>17602827.060140569</v>
      </c>
      <c r="Y222" s="128"/>
      <c r="Z222" s="128"/>
    </row>
    <row r="223" spans="1:26" x14ac:dyDescent="0.2">
      <c r="A223" s="127">
        <v>2019</v>
      </c>
      <c r="B223" s="130">
        <v>6</v>
      </c>
      <c r="C223" s="130">
        <v>19.200000000000003</v>
      </c>
      <c r="D223" s="141">
        <v>56.1</v>
      </c>
      <c r="E223" s="131">
        <v>32.099999999999994</v>
      </c>
      <c r="F223" s="131">
        <v>23.9</v>
      </c>
      <c r="G223" s="131">
        <v>59.899999999999991</v>
      </c>
      <c r="H223" s="131">
        <v>7.1</v>
      </c>
      <c r="I223" s="131">
        <v>103.1</v>
      </c>
      <c r="J223" s="131">
        <v>1.4000000000000004</v>
      </c>
      <c r="K223" s="131">
        <v>157.4</v>
      </c>
      <c r="L223" s="131">
        <v>0</v>
      </c>
      <c r="M223" s="131">
        <v>216.00000000000003</v>
      </c>
      <c r="N223" s="131">
        <v>0</v>
      </c>
      <c r="O223" s="131">
        <v>275.99999999999994</v>
      </c>
      <c r="P223" s="131">
        <v>0</v>
      </c>
      <c r="Q223" s="131">
        <v>335.99999999999989</v>
      </c>
      <c r="R223" s="145">
        <f>Purchases!D163</f>
        <v>19386900</v>
      </c>
      <c r="S223" s="128">
        <f ca="1">Data!G103</f>
        <v>20292712.126679685</v>
      </c>
      <c r="T223" s="127">
        <f ca="1">Data!I103</f>
        <v>15981523.619799685</v>
      </c>
      <c r="U223" s="129">
        <f t="shared" si="98"/>
        <v>14924747.852689471</v>
      </c>
      <c r="V223" s="145">
        <f t="shared" si="99"/>
        <v>20298149.983381726</v>
      </c>
      <c r="W223" s="145">
        <f t="shared" si="100"/>
        <v>19802003.838051863</v>
      </c>
      <c r="X223" s="129">
        <f t="shared" si="101"/>
        <v>20194586.799321353</v>
      </c>
      <c r="Y223" s="128"/>
      <c r="Z223" s="128"/>
    </row>
    <row r="224" spans="1:26" x14ac:dyDescent="0.2">
      <c r="A224" s="127">
        <v>2019</v>
      </c>
      <c r="B224" s="130">
        <v>7</v>
      </c>
      <c r="C224" s="130">
        <v>24.180645161290322</v>
      </c>
      <c r="D224" s="141">
        <v>0</v>
      </c>
      <c r="E224" s="131">
        <v>129.59999999999997</v>
      </c>
      <c r="F224" s="131">
        <v>0</v>
      </c>
      <c r="G224" s="131">
        <v>191.6</v>
      </c>
      <c r="H224" s="131">
        <v>0</v>
      </c>
      <c r="I224" s="131">
        <v>253.60000000000002</v>
      </c>
      <c r="J224" s="131">
        <v>0</v>
      </c>
      <c r="K224" s="131">
        <v>315.60000000000002</v>
      </c>
      <c r="L224" s="131">
        <v>0</v>
      </c>
      <c r="M224" s="131">
        <v>377.60000000000008</v>
      </c>
      <c r="N224" s="131">
        <v>0</v>
      </c>
      <c r="O224" s="131">
        <v>439.60000000000008</v>
      </c>
      <c r="P224" s="131">
        <v>0</v>
      </c>
      <c r="Q224" s="131">
        <v>501.60000000000008</v>
      </c>
      <c r="R224" s="145">
        <f>Purchases!D164</f>
        <v>27626160</v>
      </c>
      <c r="S224" s="128">
        <f ca="1">Data!G104</f>
        <v>28533776.105133604</v>
      </c>
      <c r="T224" s="127">
        <f ca="1">Data!I104</f>
        <v>23587865.887033604</v>
      </c>
      <c r="U224" s="129">
        <f t="shared" si="98"/>
        <v>21965780.613030463</v>
      </c>
      <c r="V224" s="145">
        <f t="shared" si="99"/>
        <v>27127156.322548598</v>
      </c>
      <c r="W224" s="145">
        <f t="shared" si="100"/>
        <v>27573525.733499397</v>
      </c>
      <c r="X224" s="129">
        <f t="shared" si="101"/>
        <v>27228695.220580451</v>
      </c>
      <c r="Y224" s="128"/>
      <c r="Z224" s="128"/>
    </row>
    <row r="225" spans="1:26" x14ac:dyDescent="0.2">
      <c r="A225" s="127">
        <v>2019</v>
      </c>
      <c r="B225" s="130">
        <v>8</v>
      </c>
      <c r="C225" s="130">
        <v>22.035483870967742</v>
      </c>
      <c r="D225" s="141">
        <v>8.0999999999999979</v>
      </c>
      <c r="E225" s="131">
        <v>71.2</v>
      </c>
      <c r="F225" s="131">
        <v>0.39999999999999858</v>
      </c>
      <c r="G225" s="131">
        <v>125.50000000000001</v>
      </c>
      <c r="H225" s="131">
        <v>0</v>
      </c>
      <c r="I225" s="131">
        <v>187.09999999999994</v>
      </c>
      <c r="J225" s="131">
        <v>0</v>
      </c>
      <c r="K225" s="131">
        <v>249.09999999999994</v>
      </c>
      <c r="L225" s="131">
        <v>0</v>
      </c>
      <c r="M225" s="131">
        <v>311.09999999999991</v>
      </c>
      <c r="N225" s="131">
        <v>0</v>
      </c>
      <c r="O225" s="131">
        <v>373.09999999999997</v>
      </c>
      <c r="P225" s="131">
        <v>0</v>
      </c>
      <c r="Q225" s="131">
        <v>435.09999999999997</v>
      </c>
      <c r="R225" s="145">
        <f>Purchases!D165</f>
        <v>24612440</v>
      </c>
      <c r="S225" s="128">
        <f ca="1">Data!G105</f>
        <v>25521860.08358752</v>
      </c>
      <c r="T225" s="127">
        <f ca="1">Data!I105</f>
        <v>18077568.220327519</v>
      </c>
      <c r="U225" s="129">
        <f t="shared" si="98"/>
        <v>18399850.750177629</v>
      </c>
      <c r="V225" s="145">
        <f t="shared" si="99"/>
        <v>24072740.88874482</v>
      </c>
      <c r="W225" s="145">
        <f t="shared" si="100"/>
        <v>23560896.722812183</v>
      </c>
      <c r="X225" s="129">
        <f t="shared" si="101"/>
        <v>24003473.434893809</v>
      </c>
      <c r="Y225" s="128"/>
      <c r="Z225" s="128"/>
    </row>
    <row r="226" spans="1:26" x14ac:dyDescent="0.2">
      <c r="A226" s="127">
        <v>2019</v>
      </c>
      <c r="B226" s="130">
        <v>9</v>
      </c>
      <c r="C226" s="130">
        <v>19.206666666666667</v>
      </c>
      <c r="D226" s="141">
        <v>46.099999999999994</v>
      </c>
      <c r="E226" s="131">
        <v>22.3</v>
      </c>
      <c r="F226" s="131">
        <v>14.699999999999998</v>
      </c>
      <c r="G226" s="131">
        <v>50.9</v>
      </c>
      <c r="H226" s="131">
        <v>2.0999999999999996</v>
      </c>
      <c r="I226" s="131">
        <v>98.300000000000011</v>
      </c>
      <c r="J226" s="131">
        <v>0</v>
      </c>
      <c r="K226" s="131">
        <v>156.19999999999999</v>
      </c>
      <c r="L226" s="131">
        <v>0</v>
      </c>
      <c r="M226" s="131">
        <v>216.19999999999996</v>
      </c>
      <c r="N226" s="131">
        <v>0</v>
      </c>
      <c r="O226" s="131">
        <v>276.2</v>
      </c>
      <c r="P226" s="131">
        <v>0</v>
      </c>
      <c r="Q226" s="131">
        <v>336.20000000000005</v>
      </c>
      <c r="R226" s="145">
        <f>Purchases!D166</f>
        <v>20453280</v>
      </c>
      <c r="S226" s="128">
        <f ca="1">Data!G106</f>
        <v>21364504.062041439</v>
      </c>
      <c r="T226" s="127">
        <f ca="1">Data!I106</f>
        <v>14959514.526341438</v>
      </c>
      <c r="U226" s="129">
        <f t="shared" si="98"/>
        <v>14394253.284851177</v>
      </c>
      <c r="V226" s="145">
        <f t="shared" si="99"/>
        <v>20018794.939119544</v>
      </c>
      <c r="W226" s="145">
        <f t="shared" si="100"/>
        <v>19166173.452012409</v>
      </c>
      <c r="X226" s="129">
        <f t="shared" si="101"/>
        <v>19855400.645300783</v>
      </c>
      <c r="Y226" s="128"/>
      <c r="Z226" s="128"/>
    </row>
    <row r="227" spans="1:26" x14ac:dyDescent="0.2">
      <c r="A227" s="127">
        <v>2019</v>
      </c>
      <c r="B227" s="130">
        <v>10</v>
      </c>
      <c r="C227" s="130">
        <v>11.664516129032259</v>
      </c>
      <c r="D227" s="141">
        <v>263.40000000000003</v>
      </c>
      <c r="E227" s="131">
        <v>5</v>
      </c>
      <c r="F227" s="131">
        <v>204.10000000000002</v>
      </c>
      <c r="G227" s="131">
        <v>7.6999999999999993</v>
      </c>
      <c r="H227" s="131">
        <v>147.70000000000002</v>
      </c>
      <c r="I227" s="131">
        <v>13.3</v>
      </c>
      <c r="J227" s="131">
        <v>96.199999999999989</v>
      </c>
      <c r="K227" s="131">
        <v>23.799999999999997</v>
      </c>
      <c r="L227" s="131">
        <v>55.199999999999989</v>
      </c>
      <c r="M227" s="131">
        <v>44.8</v>
      </c>
      <c r="N227" s="131">
        <v>26.900000000000006</v>
      </c>
      <c r="O227" s="131">
        <v>78.499999999999986</v>
      </c>
      <c r="P227" s="131">
        <v>10.199999999999999</v>
      </c>
      <c r="Q227" s="131">
        <v>123.79999999999998</v>
      </c>
      <c r="R227" s="145">
        <f>Purchases!D167</f>
        <v>17608300</v>
      </c>
      <c r="S227" s="128">
        <f ca="1">Data!G107</f>
        <v>18521328.040495358</v>
      </c>
      <c r="T227" s="127">
        <f ca="1">Data!I107</f>
        <v>13404273.102455359</v>
      </c>
      <c r="U227" s="129">
        <f t="shared" si="98"/>
        <v>13373161.779096367</v>
      </c>
      <c r="V227" s="145">
        <f t="shared" si="99"/>
        <v>17829414.075422585</v>
      </c>
      <c r="W227" s="145">
        <f t="shared" si="100"/>
        <v>18372481.812804062</v>
      </c>
      <c r="X227" s="129">
        <f t="shared" si="101"/>
        <v>17910399.884460989</v>
      </c>
      <c r="Y227" s="128"/>
      <c r="Z227" s="128"/>
    </row>
    <row r="228" spans="1:26" x14ac:dyDescent="0.2">
      <c r="A228" s="127">
        <v>2019</v>
      </c>
      <c r="B228" s="130">
        <v>11</v>
      </c>
      <c r="C228" s="130">
        <v>1.4933333333333334</v>
      </c>
      <c r="D228" s="141">
        <v>555.19999999999982</v>
      </c>
      <c r="E228" s="131">
        <v>0</v>
      </c>
      <c r="F228" s="131">
        <v>495.19999999999993</v>
      </c>
      <c r="G228" s="131">
        <v>0</v>
      </c>
      <c r="H228" s="131">
        <v>435.2</v>
      </c>
      <c r="I228" s="131">
        <v>0</v>
      </c>
      <c r="J228" s="131">
        <v>375.2</v>
      </c>
      <c r="K228" s="131">
        <v>0</v>
      </c>
      <c r="L228" s="131">
        <v>315.20000000000005</v>
      </c>
      <c r="M228" s="131">
        <v>0</v>
      </c>
      <c r="N228" s="131">
        <v>255.20000000000007</v>
      </c>
      <c r="O228" s="131">
        <v>0</v>
      </c>
      <c r="P228" s="131">
        <v>195.80000000000007</v>
      </c>
      <c r="Q228" s="131">
        <v>0.59999999999999964</v>
      </c>
      <c r="R228" s="145">
        <f>Purchases!D168</f>
        <v>19781220</v>
      </c>
      <c r="S228" s="128">
        <f ca="1">Data!G108</f>
        <v>20696052.018949278</v>
      </c>
      <c r="T228" s="127">
        <f ca="1">Data!I108</f>
        <v>16236946.044549279</v>
      </c>
      <c r="U228" s="129">
        <f t="shared" si="98"/>
        <v>15543371.533121927</v>
      </c>
      <c r="V228" s="145">
        <f t="shared" si="99"/>
        <v>20604473.706972733</v>
      </c>
      <c r="W228" s="145">
        <f t="shared" si="100"/>
        <v>20719248.561567739</v>
      </c>
      <c r="X228" s="129">
        <f t="shared" si="101"/>
        <v>20620163.201141357</v>
      </c>
      <c r="Y228" s="128"/>
      <c r="Z228" s="128"/>
    </row>
    <row r="229" spans="1:26" x14ac:dyDescent="0.2">
      <c r="A229" s="127">
        <v>2019</v>
      </c>
      <c r="B229" s="130">
        <v>12</v>
      </c>
      <c r="C229" s="130">
        <v>0.97096774193548374</v>
      </c>
      <c r="D229" s="141">
        <v>589.90000000000009</v>
      </c>
      <c r="E229" s="131">
        <v>0</v>
      </c>
      <c r="F229" s="131">
        <v>527.90000000000009</v>
      </c>
      <c r="G229" s="131">
        <v>0</v>
      </c>
      <c r="H229" s="131">
        <v>465.90000000000009</v>
      </c>
      <c r="I229" s="131">
        <v>0</v>
      </c>
      <c r="J229" s="131">
        <v>403.90000000000009</v>
      </c>
      <c r="K229" s="131">
        <v>0</v>
      </c>
      <c r="L229" s="131">
        <v>341.90000000000009</v>
      </c>
      <c r="M229" s="131">
        <v>0</v>
      </c>
      <c r="N229" s="131">
        <v>279.90000000000009</v>
      </c>
      <c r="O229" s="131">
        <v>0</v>
      </c>
      <c r="P229" s="131">
        <v>218.60000000000002</v>
      </c>
      <c r="Q229" s="131">
        <v>0.69999999999999929</v>
      </c>
      <c r="R229" s="145">
        <f>Purchases!D169</f>
        <v>21302160</v>
      </c>
      <c r="S229" s="128">
        <f ca="1">Data!G109</f>
        <v>22218795.997403197</v>
      </c>
      <c r="T229" s="127">
        <f ca="1">Data!I109</f>
        <v>16872982.174323197</v>
      </c>
      <c r="U229" s="129">
        <f t="shared" si="98"/>
        <v>15819469.235303404</v>
      </c>
      <c r="V229" s="145">
        <f t="shared" si="99"/>
        <v>20966033.503328018</v>
      </c>
      <c r="W229" s="145">
        <f t="shared" si="100"/>
        <v>21035425.221914716</v>
      </c>
      <c r="X229" s="129">
        <f t="shared" si="101"/>
        <v>20997120.836128093</v>
      </c>
      <c r="Y229" s="128"/>
      <c r="Z229" s="128"/>
    </row>
    <row r="230" spans="1:26" x14ac:dyDescent="0.2">
      <c r="A230" s="127">
        <v>2020</v>
      </c>
      <c r="B230" s="130">
        <v>1</v>
      </c>
      <c r="C230" s="130">
        <v>-0.1032258064516129</v>
      </c>
      <c r="D230" s="141">
        <v>623.20000000000016</v>
      </c>
      <c r="E230" s="131">
        <v>0</v>
      </c>
      <c r="F230" s="131">
        <v>561.20000000000016</v>
      </c>
      <c r="G230" s="131">
        <v>0</v>
      </c>
      <c r="H230" s="131">
        <v>499.2000000000001</v>
      </c>
      <c r="I230" s="131">
        <v>0</v>
      </c>
      <c r="J230" s="131">
        <v>437.2000000000001</v>
      </c>
      <c r="K230" s="131">
        <v>0</v>
      </c>
      <c r="L230" s="131">
        <v>375.2000000000001</v>
      </c>
      <c r="M230" s="131">
        <v>0</v>
      </c>
      <c r="N230" s="131">
        <v>313.2000000000001</v>
      </c>
      <c r="O230" s="131">
        <v>0</v>
      </c>
      <c r="P230" s="131">
        <v>251.2</v>
      </c>
      <c r="Q230" s="131">
        <v>0</v>
      </c>
      <c r="R230" s="145">
        <f>Purchases!D170</f>
        <v>21866419.999999996</v>
      </c>
      <c r="S230" s="128">
        <f ca="1">Data!G110</f>
        <v>22784321.905369502</v>
      </c>
      <c r="T230" s="127">
        <f ca="1">Data!I110</f>
        <v>16826407.506789502</v>
      </c>
      <c r="U230" s="129">
        <f t="shared" si="98"/>
        <v>16118949.804770608</v>
      </c>
      <c r="V230" s="145">
        <f t="shared" si="99"/>
        <v>21358213.9990489</v>
      </c>
      <c r="W230" s="145">
        <f t="shared" si="100"/>
        <v>21357403.288873564</v>
      </c>
      <c r="X230" s="129">
        <f t="shared" si="101"/>
        <v>21380995.124967791</v>
      </c>
      <c r="Y230" s="128"/>
      <c r="Z230" s="128"/>
    </row>
    <row r="231" spans="1:26" x14ac:dyDescent="0.2">
      <c r="A231" s="127">
        <v>2020</v>
      </c>
      <c r="B231" s="130">
        <v>2</v>
      </c>
      <c r="C231" s="130">
        <v>-1.6310344827586205</v>
      </c>
      <c r="D231" s="141">
        <v>627.29999999999973</v>
      </c>
      <c r="E231" s="131">
        <v>0</v>
      </c>
      <c r="F231" s="131">
        <v>569.29999999999984</v>
      </c>
      <c r="G231" s="131">
        <v>0</v>
      </c>
      <c r="H231" s="131">
        <v>511.29999999999995</v>
      </c>
      <c r="I231" s="131">
        <v>0</v>
      </c>
      <c r="J231" s="131">
        <v>453.29999999999995</v>
      </c>
      <c r="K231" s="131">
        <v>0</v>
      </c>
      <c r="L231" s="131">
        <v>395.3</v>
      </c>
      <c r="M231" s="131">
        <v>0</v>
      </c>
      <c r="N231" s="131">
        <v>337.30000000000007</v>
      </c>
      <c r="O231" s="131">
        <v>0</v>
      </c>
      <c r="P231" s="131">
        <v>279.3</v>
      </c>
      <c r="Q231" s="131">
        <v>0</v>
      </c>
      <c r="R231" s="145">
        <f>Purchases!D171</f>
        <v>20225660</v>
      </c>
      <c r="S231" s="128">
        <f ca="1">Data!G111</f>
        <v>21142049.013006397</v>
      </c>
      <c r="T231" s="127">
        <f ca="1">Data!I111</f>
        <v>15212643.070726397</v>
      </c>
      <c r="U231" s="129">
        <f t="shared" si="98"/>
        <v>16227770.071754185</v>
      </c>
      <c r="V231" s="145">
        <f t="shared" si="99"/>
        <v>21500718.023019549</v>
      </c>
      <c r="W231" s="145">
        <f t="shared" si="100"/>
        <v>21435722.278133824</v>
      </c>
      <c r="X231" s="129">
        <f t="shared" si="101"/>
        <v>21474369.951982852</v>
      </c>
      <c r="Y231" s="128"/>
      <c r="Z231" s="128"/>
    </row>
    <row r="232" spans="1:26" x14ac:dyDescent="0.2">
      <c r="A232" s="127">
        <v>2020</v>
      </c>
      <c r="B232" s="130">
        <v>3</v>
      </c>
      <c r="C232" s="130">
        <v>4.3806451612903219</v>
      </c>
      <c r="D232" s="141">
        <v>484.19999999999993</v>
      </c>
      <c r="E232" s="131">
        <v>0</v>
      </c>
      <c r="F232" s="131">
        <v>422.2</v>
      </c>
      <c r="G232" s="131">
        <v>0</v>
      </c>
      <c r="H232" s="131">
        <v>360.20000000000005</v>
      </c>
      <c r="I232" s="131">
        <v>0</v>
      </c>
      <c r="J232" s="131">
        <v>298.20000000000005</v>
      </c>
      <c r="K232" s="131">
        <v>0</v>
      </c>
      <c r="L232" s="131">
        <v>236.9</v>
      </c>
      <c r="M232" s="131">
        <v>0.69999999999999929</v>
      </c>
      <c r="N232" s="131">
        <v>178.3</v>
      </c>
      <c r="O232" s="131">
        <v>4.0999999999999996</v>
      </c>
      <c r="P232" s="131">
        <v>122.70000000000002</v>
      </c>
      <c r="Q232" s="131">
        <v>10.5</v>
      </c>
      <c r="R232" s="145">
        <f>Purchases!D172</f>
        <v>19574300</v>
      </c>
      <c r="S232" s="128">
        <f ca="1">Data!G112</f>
        <v>20489176.120643292</v>
      </c>
      <c r="T232" s="127">
        <f ca="1">Data!I112</f>
        <v>15035061.339663293</v>
      </c>
      <c r="U232" s="129">
        <f t="shared" si="98"/>
        <v>14868865.746033629</v>
      </c>
      <c r="V232" s="145">
        <f t="shared" si="99"/>
        <v>19721184.302195974</v>
      </c>
      <c r="W232" s="145">
        <f t="shared" si="100"/>
        <v>20013410.757123418</v>
      </c>
      <c r="X232" s="129">
        <f t="shared" si="101"/>
        <v>19778636.982363641</v>
      </c>
      <c r="Y232" s="128"/>
      <c r="Z232" s="128"/>
    </row>
    <row r="233" spans="1:26" x14ac:dyDescent="0.2">
      <c r="A233" s="127">
        <v>2020</v>
      </c>
      <c r="B233" s="130">
        <v>4</v>
      </c>
      <c r="C233" s="130">
        <v>6.7833333333333332</v>
      </c>
      <c r="D233" s="141">
        <v>396.50000000000006</v>
      </c>
      <c r="E233" s="131">
        <v>0</v>
      </c>
      <c r="F233" s="131">
        <v>336.5</v>
      </c>
      <c r="G233" s="131">
        <v>0</v>
      </c>
      <c r="H233" s="131">
        <v>276.5</v>
      </c>
      <c r="I233" s="131">
        <v>0</v>
      </c>
      <c r="J233" s="131">
        <v>219.2</v>
      </c>
      <c r="K233" s="131">
        <v>2.7000000000000011</v>
      </c>
      <c r="L233" s="131">
        <v>165.9</v>
      </c>
      <c r="M233" s="131">
        <v>9.4000000000000021</v>
      </c>
      <c r="N233" s="131">
        <v>115.30000000000001</v>
      </c>
      <c r="O233" s="131">
        <v>18.800000000000004</v>
      </c>
      <c r="P233" s="131">
        <v>68.500000000000014</v>
      </c>
      <c r="Q233" s="131">
        <v>31.999999999999996</v>
      </c>
      <c r="R233" s="145">
        <f>Purchases!D173</f>
        <v>16976080</v>
      </c>
      <c r="S233" s="128">
        <f ca="1">Data!G113</f>
        <v>17889443.228280183</v>
      </c>
      <c r="T233" s="127">
        <f ca="1">Data!I113</f>
        <v>12723582.632020183</v>
      </c>
      <c r="U233" s="129">
        <f t="shared" si="98"/>
        <v>14116117.28764309</v>
      </c>
      <c r="V233" s="145">
        <f t="shared" si="99"/>
        <v>18735433.326465111</v>
      </c>
      <c r="W233" s="145">
        <f t="shared" si="100"/>
        <v>19184776.512727827</v>
      </c>
      <c r="X233" s="129">
        <f t="shared" si="101"/>
        <v>18790708.257031441</v>
      </c>
      <c r="Y233" s="128"/>
      <c r="Z233" s="128"/>
    </row>
    <row r="234" spans="1:26" x14ac:dyDescent="0.2">
      <c r="A234" s="127">
        <v>2020</v>
      </c>
      <c r="B234" s="130">
        <v>5</v>
      </c>
      <c r="C234" s="130">
        <v>13.677419354838712</v>
      </c>
      <c r="D234" s="141">
        <v>211</v>
      </c>
      <c r="E234" s="131">
        <v>15</v>
      </c>
      <c r="F234" s="131">
        <v>160.50000000000003</v>
      </c>
      <c r="G234" s="131">
        <v>26.5</v>
      </c>
      <c r="H234" s="131">
        <v>115.20000000000002</v>
      </c>
      <c r="I234" s="131">
        <v>43.2</v>
      </c>
      <c r="J234" s="131">
        <v>79.800000000000011</v>
      </c>
      <c r="K234" s="131">
        <v>69.8</v>
      </c>
      <c r="L234" s="131">
        <v>52.2</v>
      </c>
      <c r="M234" s="131">
        <v>104.19999999999999</v>
      </c>
      <c r="N234" s="131">
        <v>31.799999999999997</v>
      </c>
      <c r="O234" s="131">
        <v>145.79999999999998</v>
      </c>
      <c r="P234" s="131">
        <v>14.8</v>
      </c>
      <c r="Q234" s="131">
        <v>190.79999999999998</v>
      </c>
      <c r="R234" s="145">
        <f>Purchases!D174</f>
        <v>17713720</v>
      </c>
      <c r="S234" s="128">
        <f ca="1">Data!G114</f>
        <v>18625570.335917074</v>
      </c>
      <c r="T234" s="127">
        <f ca="1">Data!I114</f>
        <v>13826486.532037074</v>
      </c>
      <c r="U234" s="129">
        <f t="shared" si="98"/>
        <v>14095088.970122097</v>
      </c>
      <c r="V234" s="145">
        <f t="shared" si="99"/>
        <v>18819994.002085481</v>
      </c>
      <c r="W234" s="145">
        <f t="shared" si="100"/>
        <v>19093275.055848062</v>
      </c>
      <c r="X234" s="129">
        <f t="shared" si="101"/>
        <v>18860000.281303234</v>
      </c>
      <c r="Y234" s="128"/>
      <c r="Z234" s="128"/>
    </row>
    <row r="235" spans="1:26" x14ac:dyDescent="0.2">
      <c r="A235" s="127">
        <v>2020</v>
      </c>
      <c r="B235" s="130">
        <v>6</v>
      </c>
      <c r="C235" s="130">
        <v>21.35</v>
      </c>
      <c r="D235" s="141">
        <v>24.199999999999996</v>
      </c>
      <c r="E235" s="131">
        <v>64.7</v>
      </c>
      <c r="F235" s="131">
        <v>10.799999999999999</v>
      </c>
      <c r="G235" s="131">
        <v>111.3</v>
      </c>
      <c r="H235" s="131">
        <v>4.4000000000000004</v>
      </c>
      <c r="I235" s="131">
        <v>164.9</v>
      </c>
      <c r="J235" s="131">
        <v>0</v>
      </c>
      <c r="K235" s="131">
        <v>220.5</v>
      </c>
      <c r="L235" s="131">
        <v>0</v>
      </c>
      <c r="M235" s="131">
        <v>280.5</v>
      </c>
      <c r="N235" s="131">
        <v>0</v>
      </c>
      <c r="O235" s="131">
        <v>340.5</v>
      </c>
      <c r="P235" s="131">
        <v>0</v>
      </c>
      <c r="Q235" s="131">
        <v>400.5</v>
      </c>
      <c r="R235" s="145">
        <f>Purchases!D175</f>
        <v>22065520</v>
      </c>
      <c r="S235" s="128">
        <f ca="1">Data!G115</f>
        <v>22975857.443553966</v>
      </c>
      <c r="T235" s="127">
        <f ca="1">Data!I115</f>
        <v>18155463.194833964</v>
      </c>
      <c r="U235" s="129">
        <f t="shared" si="98"/>
        <v>17673367.232109748</v>
      </c>
      <c r="V235" s="145">
        <f t="shared" si="99"/>
        <v>23104891.020585302</v>
      </c>
      <c r="W235" s="145">
        <f t="shared" si="100"/>
        <v>22798606.450514004</v>
      </c>
      <c r="X235" s="129">
        <f t="shared" si="101"/>
        <v>23045132.175073061</v>
      </c>
      <c r="Y235" s="128"/>
      <c r="Z235" s="128"/>
    </row>
    <row r="236" spans="1:26" x14ac:dyDescent="0.2">
      <c r="A236" s="127">
        <v>2020</v>
      </c>
      <c r="B236" s="130">
        <v>7</v>
      </c>
      <c r="C236" s="130">
        <v>24.635483870967743</v>
      </c>
      <c r="D236" s="141">
        <v>0</v>
      </c>
      <c r="E236" s="131">
        <v>143.69999999999999</v>
      </c>
      <c r="F236" s="131">
        <v>0</v>
      </c>
      <c r="G236" s="131">
        <v>205.7</v>
      </c>
      <c r="H236" s="131">
        <v>0</v>
      </c>
      <c r="I236" s="131">
        <v>267.70000000000005</v>
      </c>
      <c r="J236" s="131">
        <v>0</v>
      </c>
      <c r="K236" s="131">
        <v>329.7</v>
      </c>
      <c r="L236" s="131">
        <v>0</v>
      </c>
      <c r="M236" s="131">
        <v>391.69999999999993</v>
      </c>
      <c r="N236" s="131">
        <v>0</v>
      </c>
      <c r="O236" s="131">
        <v>453.7</v>
      </c>
      <c r="P236" s="131">
        <v>0</v>
      </c>
      <c r="Q236" s="131">
        <v>515.69999999999993</v>
      </c>
      <c r="R236" s="145">
        <f>Purchases!D176</f>
        <v>28192460</v>
      </c>
      <c r="S236" s="128">
        <f ca="1">Data!G116</f>
        <v>29101284.551190861</v>
      </c>
      <c r="T236" s="127">
        <f ca="1">Data!I116</f>
        <v>23206401.05737086</v>
      </c>
      <c r="U236" s="129">
        <f t="shared" si="98"/>
        <v>22726440.387103453</v>
      </c>
      <c r="V236" s="145">
        <f t="shared" si="99"/>
        <v>27774784.256633312</v>
      </c>
      <c r="W236" s="145">
        <f t="shared" si="100"/>
        <v>28430297.326129369</v>
      </c>
      <c r="X236" s="129">
        <f t="shared" si="101"/>
        <v>27913516.930721797</v>
      </c>
      <c r="Y236" s="128"/>
      <c r="Z236" s="128"/>
    </row>
    <row r="237" spans="1:26" x14ac:dyDescent="0.2">
      <c r="A237" s="127">
        <v>2020</v>
      </c>
      <c r="B237" s="130">
        <v>8</v>
      </c>
      <c r="C237" s="130">
        <v>22.019354838709681</v>
      </c>
      <c r="D237" s="141">
        <v>4.4000000000000021</v>
      </c>
      <c r="E237" s="131">
        <v>67</v>
      </c>
      <c r="F237" s="131">
        <v>0</v>
      </c>
      <c r="G237" s="131">
        <v>124.59999999999998</v>
      </c>
      <c r="H237" s="131">
        <v>0</v>
      </c>
      <c r="I237" s="131">
        <v>186.59999999999997</v>
      </c>
      <c r="J237" s="131">
        <v>0</v>
      </c>
      <c r="K237" s="131">
        <v>248.59999999999997</v>
      </c>
      <c r="L237" s="131">
        <v>0</v>
      </c>
      <c r="M237" s="131">
        <v>310.59999999999997</v>
      </c>
      <c r="N237" s="131">
        <v>0</v>
      </c>
      <c r="O237" s="131">
        <v>372.59999999999991</v>
      </c>
      <c r="P237" s="131">
        <v>0</v>
      </c>
      <c r="Q237" s="131">
        <v>434.59999999999997</v>
      </c>
      <c r="R237" s="145">
        <f>Purchases!D177</f>
        <v>24252200</v>
      </c>
      <c r="S237" s="128">
        <f ca="1">Data!G117</f>
        <v>25159511.658827752</v>
      </c>
      <c r="T237" s="127">
        <f ca="1">Data!I117</f>
        <v>17424190.359547753</v>
      </c>
      <c r="U237" s="129">
        <f t="shared" si="98"/>
        <v>18351297.998641051</v>
      </c>
      <c r="V237" s="145">
        <f t="shared" si="99"/>
        <v>24049775.359167349</v>
      </c>
      <c r="W237" s="145">
        <f t="shared" si="100"/>
        <v>23502341.569938526</v>
      </c>
      <c r="X237" s="129">
        <f t="shared" si="101"/>
        <v>23974577.874518737</v>
      </c>
      <c r="Y237" s="128"/>
      <c r="Z237" s="128"/>
    </row>
    <row r="238" spans="1:26" x14ac:dyDescent="0.2">
      <c r="A238" s="127">
        <v>2020</v>
      </c>
      <c r="B238" s="130">
        <v>9</v>
      </c>
      <c r="C238" s="130">
        <v>16.883333333333333</v>
      </c>
      <c r="D238" s="141">
        <v>105.19999999999999</v>
      </c>
      <c r="E238" s="131">
        <v>11.7</v>
      </c>
      <c r="F238" s="131">
        <v>62</v>
      </c>
      <c r="G238" s="131">
        <v>28.5</v>
      </c>
      <c r="H238" s="131">
        <v>31.4</v>
      </c>
      <c r="I238" s="131">
        <v>57.9</v>
      </c>
      <c r="J238" s="131">
        <v>12.100000000000001</v>
      </c>
      <c r="K238" s="131">
        <v>98.6</v>
      </c>
      <c r="L238" s="131">
        <v>2.9000000000000004</v>
      </c>
      <c r="M238" s="131">
        <v>149.4</v>
      </c>
      <c r="N238" s="131">
        <v>0</v>
      </c>
      <c r="O238" s="131">
        <v>206.5</v>
      </c>
      <c r="P238" s="131">
        <v>0</v>
      </c>
      <c r="Q238" s="131">
        <v>266.5</v>
      </c>
      <c r="R238" s="145">
        <f>Purchases!D178</f>
        <v>18691553.740000002</v>
      </c>
      <c r="S238" s="128">
        <f ca="1">Data!G118</f>
        <v>19597352.506464645</v>
      </c>
      <c r="T238" s="127">
        <f ca="1">Data!I118</f>
        <v>13033347.459984645</v>
      </c>
      <c r="U238" s="129">
        <f t="shared" si="98"/>
        <v>13449336.174096715</v>
      </c>
      <c r="V238" s="145">
        <f t="shared" si="99"/>
        <v>18508251.876725927</v>
      </c>
      <c r="W238" s="145">
        <f t="shared" si="100"/>
        <v>18262405.355878647</v>
      </c>
      <c r="X238" s="129">
        <f t="shared" si="101"/>
        <v>18438479.333283458</v>
      </c>
      <c r="Y238" s="128"/>
      <c r="Z238" s="128"/>
    </row>
    <row r="239" spans="1:26" x14ac:dyDescent="0.2">
      <c r="A239" s="127">
        <v>2020</v>
      </c>
      <c r="B239" s="130">
        <v>10</v>
      </c>
      <c r="C239" s="130">
        <v>10.293548387096777</v>
      </c>
      <c r="D239" s="141">
        <v>300.89999999999998</v>
      </c>
      <c r="E239" s="131">
        <v>0</v>
      </c>
      <c r="F239" s="131">
        <v>239.7</v>
      </c>
      <c r="G239" s="131">
        <v>0.80000000000000071</v>
      </c>
      <c r="H239" s="131">
        <v>181.8</v>
      </c>
      <c r="I239" s="131">
        <v>4.9000000000000021</v>
      </c>
      <c r="J239" s="131">
        <v>129.4</v>
      </c>
      <c r="K239" s="131">
        <v>14.500000000000002</v>
      </c>
      <c r="L239" s="131">
        <v>83.899999999999991</v>
      </c>
      <c r="M239" s="131">
        <v>31.000000000000004</v>
      </c>
      <c r="N239" s="131">
        <v>48.6</v>
      </c>
      <c r="O239" s="131">
        <v>57.7</v>
      </c>
      <c r="P239" s="131">
        <v>22.499999999999996</v>
      </c>
      <c r="Q239" s="131">
        <v>93.59999999999998</v>
      </c>
      <c r="R239" s="145">
        <f>Purchases!D179</f>
        <v>17010864.789999999</v>
      </c>
      <c r="S239" s="128">
        <f ca="1">Data!G119</f>
        <v>17915150.664101534</v>
      </c>
      <c r="T239" s="127">
        <f ca="1">Data!I119</f>
        <v>13859265.472901534</v>
      </c>
      <c r="U239" s="129">
        <f t="shared" si="98"/>
        <v>13307599.315178778</v>
      </c>
      <c r="V239" s="145">
        <f t="shared" si="99"/>
        <v>17845195.427892886</v>
      </c>
      <c r="W239" s="145">
        <f t="shared" si="100"/>
        <v>18297427.40020439</v>
      </c>
      <c r="X239" s="129">
        <f t="shared" si="101"/>
        <v>17912809.121922359</v>
      </c>
      <c r="Y239" s="128"/>
      <c r="Z239" s="128"/>
    </row>
    <row r="240" spans="1:26" x14ac:dyDescent="0.2">
      <c r="A240" s="127">
        <v>2020</v>
      </c>
      <c r="B240" s="130">
        <v>11</v>
      </c>
      <c r="C240" s="130">
        <v>7.0633333333333352</v>
      </c>
      <c r="D240" s="141">
        <v>388.1</v>
      </c>
      <c r="E240" s="131">
        <v>0</v>
      </c>
      <c r="F240" s="131">
        <v>329.50000000000006</v>
      </c>
      <c r="G240" s="131">
        <v>1.3999999999999986</v>
      </c>
      <c r="H240" s="131">
        <v>271.49999999999994</v>
      </c>
      <c r="I240" s="131">
        <v>3.3999999999999986</v>
      </c>
      <c r="J240" s="131">
        <v>214.49999999999997</v>
      </c>
      <c r="K240" s="131">
        <v>6.3999999999999986</v>
      </c>
      <c r="L240" s="131">
        <v>166.29999999999998</v>
      </c>
      <c r="M240" s="131">
        <v>18.199999999999996</v>
      </c>
      <c r="N240" s="131">
        <v>123.09999999999998</v>
      </c>
      <c r="O240" s="131">
        <v>34.999999999999993</v>
      </c>
      <c r="P240" s="131">
        <v>83.899999999999991</v>
      </c>
      <c r="Q240" s="131">
        <v>55.8</v>
      </c>
      <c r="R240" s="145">
        <f>Purchases!D180</f>
        <v>18253434</v>
      </c>
      <c r="S240" s="128">
        <f ca="1">Data!G120</f>
        <v>19156206.98173843</v>
      </c>
      <c r="T240" s="127">
        <f ca="1">Data!I120</f>
        <v>16040911.954498429</v>
      </c>
      <c r="U240" s="129">
        <f t="shared" si="98"/>
        <v>14146676.737560762</v>
      </c>
      <c r="V240" s="145">
        <f t="shared" si="99"/>
        <v>18832712.96727347</v>
      </c>
      <c r="W240" s="145">
        <f t="shared" si="100"/>
        <v>19202162.955424927</v>
      </c>
      <c r="X240" s="129">
        <f t="shared" si="101"/>
        <v>18875148.275163878</v>
      </c>
      <c r="Y240" s="128"/>
      <c r="Z240" s="128"/>
    </row>
    <row r="241" spans="1:26" x14ac:dyDescent="0.2">
      <c r="A241" s="127">
        <v>2020</v>
      </c>
      <c r="B241" s="130">
        <v>12</v>
      </c>
      <c r="C241" s="130">
        <v>0.34193548387096778</v>
      </c>
      <c r="D241" s="141">
        <v>609.4</v>
      </c>
      <c r="E241" s="131">
        <v>0</v>
      </c>
      <c r="F241" s="131">
        <v>547.4</v>
      </c>
      <c r="G241" s="131">
        <v>0</v>
      </c>
      <c r="H241" s="131">
        <v>485.40000000000003</v>
      </c>
      <c r="I241" s="131">
        <v>0</v>
      </c>
      <c r="J241" s="131">
        <v>423.40000000000003</v>
      </c>
      <c r="K241" s="131">
        <v>0</v>
      </c>
      <c r="L241" s="131">
        <v>361.4</v>
      </c>
      <c r="M241" s="131">
        <v>0</v>
      </c>
      <c r="N241" s="131">
        <v>299.40000000000009</v>
      </c>
      <c r="O241" s="131">
        <v>0</v>
      </c>
      <c r="P241" s="131">
        <v>237.40000000000006</v>
      </c>
      <c r="Q241" s="131">
        <v>0</v>
      </c>
      <c r="R241" s="145">
        <f>Purchases!D181</f>
        <v>20812463</v>
      </c>
      <c r="S241" s="128">
        <f ca="1">Data!G121</f>
        <v>21713723.089375321</v>
      </c>
      <c r="T241" s="127">
        <f ca="1">Data!I121</f>
        <v>18472701.40585532</v>
      </c>
      <c r="U241" s="129">
        <f t="shared" si="98"/>
        <v>15994840.739946362</v>
      </c>
      <c r="V241" s="145">
        <f t="shared" si="99"/>
        <v>21195688.748569973</v>
      </c>
      <c r="W241" s="145">
        <f t="shared" si="100"/>
        <v>21223970.936800528</v>
      </c>
      <c r="X241" s="129">
        <f t="shared" si="101"/>
        <v>21221912.086349539</v>
      </c>
      <c r="Y241" s="128"/>
      <c r="Z241" s="128"/>
    </row>
    <row r="242" spans="1:26" x14ac:dyDescent="0.2">
      <c r="B242" s="141"/>
      <c r="U242" s="144"/>
      <c r="V242" s="144"/>
      <c r="X242" s="144"/>
      <c r="Y242" s="128"/>
      <c r="Z242" s="128"/>
    </row>
    <row r="243" spans="1:26" x14ac:dyDescent="0.2">
      <c r="B243" s="141"/>
      <c r="U243" s="144"/>
      <c r="V243" s="144"/>
      <c r="X243" s="144"/>
      <c r="Y243" s="128"/>
      <c r="Z243" s="128"/>
    </row>
    <row r="244" spans="1:26" x14ac:dyDescent="0.2">
      <c r="B244" s="141"/>
      <c r="U244" s="144"/>
      <c r="V244" s="144"/>
      <c r="X244" s="144"/>
      <c r="Y244" s="128"/>
      <c r="Z244" s="128"/>
    </row>
    <row r="245" spans="1:26" x14ac:dyDescent="0.2">
      <c r="B245" s="141"/>
      <c r="U245" s="144"/>
      <c r="V245" s="144"/>
      <c r="X245" s="144"/>
      <c r="Y245" s="128"/>
      <c r="Z245" s="128"/>
    </row>
    <row r="246" spans="1:26" x14ac:dyDescent="0.2">
      <c r="B246" s="141"/>
      <c r="U246" s="144"/>
      <c r="V246" s="144"/>
      <c r="X246" s="144"/>
      <c r="Y246" s="128"/>
      <c r="Z246" s="128"/>
    </row>
    <row r="247" spans="1:26" x14ac:dyDescent="0.2">
      <c r="B247" s="141"/>
      <c r="U247" s="144"/>
      <c r="V247" s="144"/>
      <c r="X247" s="144"/>
      <c r="Y247" s="128"/>
      <c r="Z247" s="128"/>
    </row>
    <row r="248" spans="1:26" x14ac:dyDescent="0.2">
      <c r="B248" s="141"/>
      <c r="U248" s="144"/>
      <c r="V248" s="144"/>
      <c r="X248" s="144"/>
      <c r="Y248" s="128"/>
      <c r="Z248" s="128"/>
    </row>
    <row r="249" spans="1:26" x14ac:dyDescent="0.2">
      <c r="B249" s="141"/>
      <c r="U249" s="144"/>
      <c r="V249" s="144"/>
      <c r="X249" s="144"/>
      <c r="Y249" s="128"/>
      <c r="Z249" s="128"/>
    </row>
    <row r="250" spans="1:26" x14ac:dyDescent="0.2">
      <c r="B250" s="141"/>
      <c r="U250" s="144"/>
      <c r="V250" s="144"/>
      <c r="X250" s="144"/>
      <c r="Y250" s="128"/>
      <c r="Z250" s="128"/>
    </row>
    <row r="251" spans="1:26" x14ac:dyDescent="0.2">
      <c r="B251" s="141"/>
      <c r="U251" s="144"/>
      <c r="V251" s="144"/>
      <c r="X251" s="144"/>
      <c r="Y251" s="128"/>
      <c r="Z251" s="128"/>
    </row>
    <row r="252" spans="1:26" x14ac:dyDescent="0.2">
      <c r="B252" s="141"/>
      <c r="U252" s="144"/>
      <c r="V252" s="144"/>
      <c r="X252" s="144"/>
      <c r="Y252" s="128"/>
      <c r="Z252" s="128"/>
    </row>
    <row r="253" spans="1:26" x14ac:dyDescent="0.2">
      <c r="B253" s="141"/>
      <c r="U253" s="144"/>
      <c r="V253" s="144"/>
      <c r="X253" s="144"/>
      <c r="Y253" s="128"/>
      <c r="Z253" s="128"/>
    </row>
    <row r="254" spans="1:26" x14ac:dyDescent="0.2">
      <c r="B254" s="141"/>
      <c r="X254" s="144"/>
      <c r="Y254" s="128"/>
      <c r="Z254" s="128"/>
    </row>
    <row r="255" spans="1:26" x14ac:dyDescent="0.2">
      <c r="B255" s="141"/>
      <c r="X255" s="144"/>
      <c r="Y255" s="128"/>
      <c r="Z255" s="128"/>
    </row>
    <row r="256" spans="1:26" x14ac:dyDescent="0.2">
      <c r="B256" s="141"/>
      <c r="X256" s="144"/>
      <c r="Y256" s="128"/>
      <c r="Z256" s="128"/>
    </row>
    <row r="257" spans="2:26" x14ac:dyDescent="0.2">
      <c r="B257" s="141"/>
      <c r="X257" s="144"/>
      <c r="Y257" s="128"/>
      <c r="Z257" s="128"/>
    </row>
    <row r="258" spans="2:26" x14ac:dyDescent="0.2">
      <c r="B258" s="141"/>
      <c r="X258" s="144"/>
      <c r="Y258" s="128"/>
      <c r="Z258" s="128"/>
    </row>
    <row r="259" spans="2:26" x14ac:dyDescent="0.2">
      <c r="B259" s="141"/>
      <c r="X259" s="144"/>
      <c r="Y259" s="128"/>
      <c r="Z259" s="128"/>
    </row>
    <row r="260" spans="2:26" x14ac:dyDescent="0.2"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X260" s="144"/>
      <c r="Y260" s="128"/>
      <c r="Z260" s="128"/>
    </row>
    <row r="261" spans="2:26" x14ac:dyDescent="0.2"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</row>
    <row r="262" spans="2:26" x14ac:dyDescent="0.2"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</row>
    <row r="263" spans="2:26" x14ac:dyDescent="0.2"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</row>
    <row r="264" spans="2:26" x14ac:dyDescent="0.2"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</row>
    <row r="265" spans="2:26" x14ac:dyDescent="0.2"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</row>
  </sheetData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B0E5-56F6-45DB-8D05-CB188B431C77}">
  <sheetPr codeName="Sheet1"/>
  <dimension ref="A1:BH178"/>
  <sheetViews>
    <sheetView workbookViewId="0">
      <pane xSplit="1" ySplit="1" topLeftCell="AT2" activePane="bottomRight" state="frozen"/>
      <selection pane="topRight" activeCell="B1" sqref="B1"/>
      <selection pane="bottomLeft" activeCell="A2" sqref="A2"/>
      <selection pane="bottomRight" activeCell="K91" sqref="K91"/>
    </sheetView>
  </sheetViews>
  <sheetFormatPr defaultRowHeight="12.75" x14ac:dyDescent="0.2"/>
  <cols>
    <col min="4" max="7" width="12.42578125" customWidth="1"/>
    <col min="8" max="9" width="18" customWidth="1"/>
    <col min="11" max="11" width="12.28515625" customWidth="1"/>
    <col min="12" max="12" width="10.28515625" style="153" bestFit="1" customWidth="1"/>
    <col min="13" max="13" width="11.140625" style="153" bestFit="1" customWidth="1"/>
    <col min="14" max="14" width="11.5703125" style="153" bestFit="1" customWidth="1"/>
    <col min="15" max="15" width="8.5703125" style="153" bestFit="1" customWidth="1"/>
    <col min="16" max="17" width="11.7109375" style="153" customWidth="1"/>
    <col min="18" max="18" width="11.140625" style="148" bestFit="1" customWidth="1"/>
    <col min="19" max="30" width="6.85546875" style="148" bestFit="1" customWidth="1"/>
    <col min="31" max="32" width="5.85546875" style="148" bestFit="1" customWidth="1"/>
    <col min="33" max="33" width="10.85546875" style="24" bestFit="1" customWidth="1"/>
    <col min="34" max="34" width="9.85546875" style="24" bestFit="1" customWidth="1"/>
    <col min="35" max="35" width="4.28515625" bestFit="1" customWidth="1"/>
    <col min="36" max="37" width="4.42578125" bestFit="1" customWidth="1"/>
    <col min="38" max="38" width="4.140625" bestFit="1" customWidth="1"/>
    <col min="39" max="39" width="4.7109375" bestFit="1" customWidth="1"/>
    <col min="40" max="40" width="4.28515625" bestFit="1" customWidth="1"/>
    <col min="41" max="41" width="3.7109375" bestFit="1" customWidth="1"/>
    <col min="42" max="43" width="4.5703125" bestFit="1" customWidth="1"/>
    <col min="44" max="44" width="4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9.28515625" bestFit="1" customWidth="1"/>
    <col min="50" max="50" width="6.28515625" bestFit="1" customWidth="1"/>
    <col min="51" max="56" width="9.140625" style="154"/>
  </cols>
  <sheetData>
    <row r="1" spans="1:60" s="13" customFormat="1" x14ac:dyDescent="0.2">
      <c r="A1" s="13" t="s">
        <v>103</v>
      </c>
      <c r="B1" s="13" t="s">
        <v>75</v>
      </c>
      <c r="C1" s="13" t="s">
        <v>40</v>
      </c>
      <c r="D1" s="13" t="s">
        <v>4</v>
      </c>
      <c r="E1" s="13" t="s">
        <v>128</v>
      </c>
      <c r="F1" s="13" t="s">
        <v>80</v>
      </c>
      <c r="G1" s="13" t="s">
        <v>172</v>
      </c>
      <c r="H1" s="13" t="s">
        <v>127</v>
      </c>
      <c r="I1" s="13" t="s">
        <v>171</v>
      </c>
      <c r="J1" s="13" t="s">
        <v>129</v>
      </c>
      <c r="K1" s="13" t="s">
        <v>130</v>
      </c>
      <c r="L1" s="156" t="str">
        <f>Economic!C1</f>
        <v>GDP</v>
      </c>
      <c r="M1" s="156" t="str">
        <f>Economic!E1</f>
        <v>GDP_Index</v>
      </c>
      <c r="N1" s="156" t="str">
        <f>Economic!F1</f>
        <v>OntFTE_Adj</v>
      </c>
      <c r="O1" s="156" t="str">
        <f>Economic!G1</f>
        <v>Ont_FTE</v>
      </c>
      <c r="P1" s="156" t="str">
        <f>Economic!H1</f>
        <v>WindsorFTE_Adj</v>
      </c>
      <c r="Q1" s="156" t="str">
        <f>Economic!I1</f>
        <v>WindsorFTE</v>
      </c>
      <c r="R1" s="157" t="str">
        <f>Weather!C1</f>
        <v>MeanTemp</v>
      </c>
      <c r="S1" s="157" t="str">
        <f>Weather!D1</f>
        <v>HDD20</v>
      </c>
      <c r="T1" s="157" t="str">
        <f>Weather!E1</f>
        <v>CDD20</v>
      </c>
      <c r="U1" s="157" t="str">
        <f>Weather!F1</f>
        <v>HDD18</v>
      </c>
      <c r="V1" s="157" t="str">
        <f>Weather!G1</f>
        <v>CDD18</v>
      </c>
      <c r="W1" s="157" t="str">
        <f>Weather!H1</f>
        <v>HDD16</v>
      </c>
      <c r="X1" s="157" t="str">
        <f>Weather!I1</f>
        <v>CDD16</v>
      </c>
      <c r="Y1" s="157" t="str">
        <f>Weather!J1</f>
        <v>HDD14</v>
      </c>
      <c r="Z1" s="157" t="str">
        <f>Weather!K1</f>
        <v>CDD14</v>
      </c>
      <c r="AA1" s="157" t="str">
        <f>Weather!L1</f>
        <v>HDD12</v>
      </c>
      <c r="AB1" s="157" t="str">
        <f>Weather!M1</f>
        <v>CDD12</v>
      </c>
      <c r="AC1" s="157" t="str">
        <f>Weather!N1</f>
        <v>HDD10</v>
      </c>
      <c r="AD1" s="157" t="str">
        <f>Weather!O1</f>
        <v>CDD10</v>
      </c>
      <c r="AE1" s="157" t="str">
        <f>Weather!P1</f>
        <v>HDD8</v>
      </c>
      <c r="AF1" s="157" t="str">
        <f>Weather!Q1</f>
        <v>CDD8</v>
      </c>
      <c r="AG1" s="158" t="s">
        <v>134</v>
      </c>
      <c r="AH1" s="158" t="s">
        <v>135</v>
      </c>
      <c r="AI1" s="13" t="s">
        <v>55</v>
      </c>
      <c r="AJ1" s="13" t="s">
        <v>56</v>
      </c>
      <c r="AK1" s="13" t="s">
        <v>57</v>
      </c>
      <c r="AL1" s="13" t="s">
        <v>58</v>
      </c>
      <c r="AM1" s="13" t="s">
        <v>46</v>
      </c>
      <c r="AN1" s="13" t="s">
        <v>59</v>
      </c>
      <c r="AO1" s="13" t="s">
        <v>60</v>
      </c>
      <c r="AP1" s="13" t="s">
        <v>61</v>
      </c>
      <c r="AQ1" s="13" t="s">
        <v>62</v>
      </c>
      <c r="AR1" s="13" t="s">
        <v>63</v>
      </c>
      <c r="AS1" s="13" t="s">
        <v>64</v>
      </c>
      <c r="AT1" s="13" t="s">
        <v>65</v>
      </c>
      <c r="AU1" s="13" t="s">
        <v>131</v>
      </c>
      <c r="AV1" s="13" t="s">
        <v>132</v>
      </c>
      <c r="AW1" s="13" t="s">
        <v>133</v>
      </c>
      <c r="AX1" s="13" t="s">
        <v>54</v>
      </c>
      <c r="AY1" s="159" t="s">
        <v>136</v>
      </c>
      <c r="AZ1" s="159" t="s">
        <v>173</v>
      </c>
      <c r="BA1" s="159" t="str">
        <f>AY1&amp;"_"&amp;U1</f>
        <v>COVID_HDD18</v>
      </c>
      <c r="BB1" s="159" t="str">
        <f>AY1&amp;"_"&amp;V1</f>
        <v>COVID_CDD18</v>
      </c>
      <c r="BC1" s="159" t="str">
        <f>AY1&amp;"_"&amp;W1</f>
        <v>COVID_HDD16</v>
      </c>
      <c r="BD1" s="159" t="str">
        <f>AY1&amp;"_"&amp;X1</f>
        <v>COVID_CDD16</v>
      </c>
      <c r="BE1" s="13" t="s">
        <v>213</v>
      </c>
      <c r="BF1" s="13" t="s">
        <v>214</v>
      </c>
      <c r="BG1" s="13" t="s">
        <v>215</v>
      </c>
      <c r="BH1" s="13" t="s">
        <v>216</v>
      </c>
    </row>
    <row r="2" spans="1:60" x14ac:dyDescent="0.2">
      <c r="A2" s="3">
        <v>40544</v>
      </c>
      <c r="B2">
        <f>YEAR(A2)</f>
        <v>2011</v>
      </c>
      <c r="C2">
        <f>MONTH(A2)</f>
        <v>1</v>
      </c>
      <c r="D2" s="46">
        <f>Purchases!D62</f>
        <v>23397084.615384616</v>
      </c>
      <c r="E2" s="46">
        <f>Purchases!E62</f>
        <v>5500808.8137999997</v>
      </c>
      <c r="F2" s="46">
        <f ca="1">CDM!D18</f>
        <v>3429.6163502514</v>
      </c>
      <c r="G2" s="46">
        <f ca="1">D2+F2</f>
        <v>23400514.231734868</v>
      </c>
      <c r="H2" s="46">
        <f>D2-E2</f>
        <v>17896275.801584616</v>
      </c>
      <c r="I2" s="46">
        <f ca="1">D2+F2-E2</f>
        <v>17899705.417934868</v>
      </c>
      <c r="J2" s="46">
        <f>'Rate Class Customer Model'!V2</f>
        <v>14021.416666666666</v>
      </c>
      <c r="K2" s="109">
        <f>IF(C2=12,VLOOKUP(B2,'Rate Class Customer Model'!$A$32:$J$44,10,FALSE),(VLOOKUP(B2+1,'Rate Class Customer Model'!$A$32:$J$44,10,FALSE)-VLOOKUP(B2,'Rate Class Customer Model'!$A$32:$J$44,10,FALSE))/12+'Rate Class Customer Model'!J32)</f>
        <v>11342.75</v>
      </c>
      <c r="L2" s="152">
        <f>Economic!C2</f>
        <v>625936.9</v>
      </c>
      <c r="M2" s="152">
        <f>Economic!E2</f>
        <v>137.72782792395429</v>
      </c>
      <c r="N2" s="152">
        <f>Economic!F2</f>
        <v>6606.3</v>
      </c>
      <c r="O2" s="152">
        <f>Economic!G2</f>
        <v>6571.2</v>
      </c>
      <c r="P2" s="152">
        <f>Economic!H2</f>
        <v>148.9</v>
      </c>
      <c r="Q2" s="152">
        <f>Economic!I2</f>
        <v>148.69999999999999</v>
      </c>
      <c r="R2" s="149">
        <f>Weather!C122</f>
        <v>-5.5774193548387094</v>
      </c>
      <c r="S2" s="150">
        <f>Weather!D122</f>
        <v>792.89999999999986</v>
      </c>
      <c r="T2" s="150">
        <f>Weather!E122</f>
        <v>0</v>
      </c>
      <c r="U2" s="150">
        <f>Weather!F122</f>
        <v>730.89999999999986</v>
      </c>
      <c r="V2" s="150">
        <f>Weather!G122</f>
        <v>0</v>
      </c>
      <c r="W2" s="150">
        <f>Weather!H122</f>
        <v>668.9</v>
      </c>
      <c r="X2" s="150">
        <f>Weather!I122</f>
        <v>0</v>
      </c>
      <c r="Y2" s="150">
        <f>Weather!J122</f>
        <v>606.9</v>
      </c>
      <c r="Z2" s="150">
        <f>Weather!K122</f>
        <v>0</v>
      </c>
      <c r="AA2" s="150">
        <f>Weather!L122</f>
        <v>544.9</v>
      </c>
      <c r="AB2" s="150">
        <f>Weather!M122</f>
        <v>0</v>
      </c>
      <c r="AC2" s="150">
        <f>Weather!N122</f>
        <v>482.90000000000003</v>
      </c>
      <c r="AD2" s="150">
        <f>Weather!O122</f>
        <v>0</v>
      </c>
      <c r="AE2" s="150">
        <f>Weather!P122</f>
        <v>420.89999999999992</v>
      </c>
      <c r="AF2" s="150">
        <f>Weather!Q122</f>
        <v>0</v>
      </c>
      <c r="AG2" s="151">
        <v>31</v>
      </c>
      <c r="AH2" s="151">
        <v>20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f>AU2+AV2</f>
        <v>0</v>
      </c>
      <c r="AX2">
        <v>1</v>
      </c>
      <c r="AY2" s="154">
        <v>0</v>
      </c>
      <c r="AZ2" s="154">
        <f>AY2</f>
        <v>0</v>
      </c>
      <c r="BA2" s="155">
        <f>AY2*U2</f>
        <v>0</v>
      </c>
      <c r="BB2" s="155">
        <f>AY2*V2</f>
        <v>0</v>
      </c>
      <c r="BC2" s="155">
        <f>AY2*W2</f>
        <v>0</v>
      </c>
      <c r="BD2" s="155">
        <f>AY2*X2</f>
        <v>0</v>
      </c>
      <c r="BE2" s="236">
        <f>X2^2</f>
        <v>0</v>
      </c>
      <c r="BF2">
        <f>X2*'Rate Class Customer Model'!O2</f>
        <v>0</v>
      </c>
      <c r="BG2" s="123">
        <f>X2*K2</f>
        <v>0</v>
      </c>
      <c r="BH2">
        <v>0</v>
      </c>
    </row>
    <row r="3" spans="1:60" x14ac:dyDescent="0.2">
      <c r="A3" s="3">
        <v>40575</v>
      </c>
      <c r="B3">
        <f t="shared" ref="B3:B66" si="0">YEAR(A3)</f>
        <v>2011</v>
      </c>
      <c r="C3">
        <f t="shared" ref="C3:C66" si="1">MONTH(A3)</f>
        <v>2</v>
      </c>
      <c r="D3" s="46">
        <f>Purchases!D63</f>
        <v>20570361.53846154</v>
      </c>
      <c r="E3" s="46">
        <f>Purchases!E63</f>
        <v>5684569.301</v>
      </c>
      <c r="F3" s="46">
        <f ca="1">CDM!D19</f>
        <v>6859.2327005028001</v>
      </c>
      <c r="G3" s="46">
        <f t="shared" ref="G3:G66" ca="1" si="2">D3+F3</f>
        <v>20577220.771162044</v>
      </c>
      <c r="H3" s="46">
        <f t="shared" ref="H3:H66" si="3">D3-E3</f>
        <v>14885792.237461541</v>
      </c>
      <c r="I3" s="46">
        <f t="shared" ref="I3:I66" ca="1" si="4">D3+F3-E3</f>
        <v>14892651.470162045</v>
      </c>
      <c r="J3" s="46">
        <f>'Rate Class Customer Model'!V3</f>
        <v>14027.833333333332</v>
      </c>
      <c r="K3" s="109">
        <f>IF(C3=12,VLOOKUP(B3,'Rate Class Customer Model'!$A$32:$J$44,10,FALSE),(VLOOKUP(B3+1,'Rate Class Customer Model'!$A$32:$J$44,10,FALSE)-VLOOKUP(B3,'Rate Class Customer Model'!$A$32:$J$44,10,FALSE))/12+K2)</f>
        <v>11350.5</v>
      </c>
      <c r="L3" s="152">
        <f>Economic!C3</f>
        <v>625936.9</v>
      </c>
      <c r="M3" s="152">
        <f>Economic!E3</f>
        <v>138.03145074637808</v>
      </c>
      <c r="N3" s="152">
        <f>Economic!F3</f>
        <v>6619.5</v>
      </c>
      <c r="O3" s="152">
        <f>Economic!G3</f>
        <v>6548.1</v>
      </c>
      <c r="P3" s="152">
        <f>Economic!H3</f>
        <v>148.69999999999999</v>
      </c>
      <c r="Q3" s="152">
        <f>Economic!I3</f>
        <v>146.69999999999999</v>
      </c>
      <c r="R3" s="149">
        <f>Weather!C123</f>
        <v>-3.9499999999999997</v>
      </c>
      <c r="S3" s="150">
        <f>Weather!D123</f>
        <v>670.6</v>
      </c>
      <c r="T3" s="150">
        <f>Weather!E123</f>
        <v>0</v>
      </c>
      <c r="U3" s="150">
        <f>Weather!F123</f>
        <v>614.6</v>
      </c>
      <c r="V3" s="150">
        <f>Weather!G123</f>
        <v>0</v>
      </c>
      <c r="W3" s="150">
        <f>Weather!H123</f>
        <v>558.59999999999991</v>
      </c>
      <c r="X3" s="150">
        <f>Weather!I123</f>
        <v>0</v>
      </c>
      <c r="Y3" s="150">
        <f>Weather!J123</f>
        <v>502.60000000000008</v>
      </c>
      <c r="Z3" s="150">
        <f>Weather!K123</f>
        <v>0</v>
      </c>
      <c r="AA3" s="150">
        <f>Weather!L123</f>
        <v>446.6</v>
      </c>
      <c r="AB3" s="150">
        <f>Weather!M123</f>
        <v>0</v>
      </c>
      <c r="AC3" s="150">
        <f>Weather!N123</f>
        <v>390.6</v>
      </c>
      <c r="AD3" s="150">
        <f>Weather!O123</f>
        <v>0</v>
      </c>
      <c r="AE3" s="150">
        <f>Weather!P123</f>
        <v>334.60000000000008</v>
      </c>
      <c r="AF3" s="150">
        <f>Weather!Q123</f>
        <v>0</v>
      </c>
      <c r="AG3" s="151">
        <v>28</v>
      </c>
      <c r="AH3" s="151">
        <v>19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f t="shared" ref="AW3:AW66" si="5">AU3+AV3</f>
        <v>0</v>
      </c>
      <c r="AX3">
        <f>1+AX2</f>
        <v>2</v>
      </c>
      <c r="AY3" s="154">
        <v>0</v>
      </c>
      <c r="AZ3" s="154">
        <f t="shared" ref="AZ3:AZ66" si="6">AY3</f>
        <v>0</v>
      </c>
      <c r="BA3" s="155">
        <f t="shared" ref="BA3:BA66" si="7">AY3*U3</f>
        <v>0</v>
      </c>
      <c r="BB3" s="155">
        <f t="shared" ref="BB3:BB66" si="8">AY3*V3</f>
        <v>0</v>
      </c>
      <c r="BC3" s="155">
        <f t="shared" ref="BC3:BC66" si="9">AY3*W3</f>
        <v>0</v>
      </c>
      <c r="BD3" s="155">
        <f t="shared" ref="BD3:BD66" si="10">AY3*X3</f>
        <v>0</v>
      </c>
      <c r="BE3" s="236">
        <f t="shared" ref="BE3:BE66" si="11">X3^2</f>
        <v>0</v>
      </c>
      <c r="BF3">
        <f>X3*'Rate Class Customer Model'!O3</f>
        <v>0</v>
      </c>
      <c r="BG3" s="123">
        <f t="shared" ref="BG3:BG66" si="12">X3*K3</f>
        <v>0</v>
      </c>
      <c r="BH3">
        <v>0</v>
      </c>
    </row>
    <row r="4" spans="1:60" x14ac:dyDescent="0.2">
      <c r="A4" s="3">
        <v>40603</v>
      </c>
      <c r="B4">
        <f t="shared" si="0"/>
        <v>2011</v>
      </c>
      <c r="C4">
        <f t="shared" si="1"/>
        <v>3</v>
      </c>
      <c r="D4" s="46">
        <f>Purchases!D64</f>
        <v>21011815.384615388</v>
      </c>
      <c r="E4" s="46">
        <f>Purchases!E64</f>
        <v>4907120.8032</v>
      </c>
      <c r="F4" s="46">
        <f ca="1">CDM!D20</f>
        <v>10288.849050754201</v>
      </c>
      <c r="G4" s="46">
        <f t="shared" ca="1" si="2"/>
        <v>21022104.233666141</v>
      </c>
      <c r="H4" s="46">
        <f t="shared" si="3"/>
        <v>16104694.581415389</v>
      </c>
      <c r="I4" s="46">
        <f t="shared" ca="1" si="4"/>
        <v>16114983.430466142</v>
      </c>
      <c r="J4" s="46">
        <f>'Rate Class Customer Model'!V4</f>
        <v>14034.249999999998</v>
      </c>
      <c r="K4" s="109">
        <f>IF(C4=12,VLOOKUP(B4,'Rate Class Customer Model'!$A$32:$J$44,10,FALSE),(VLOOKUP(B4+1,'Rate Class Customer Model'!$A$32:$J$44,10,FALSE)-VLOOKUP(B4,'Rate Class Customer Model'!$A$32:$J$44,10,FALSE))/12+K3)</f>
        <v>11358.25</v>
      </c>
      <c r="L4" s="152">
        <f>Economic!C4</f>
        <v>625936.9</v>
      </c>
      <c r="M4" s="152">
        <f>Economic!E4</f>
        <v>138.33507356880187</v>
      </c>
      <c r="N4" s="152">
        <f>Economic!F4</f>
        <v>6628.6</v>
      </c>
      <c r="O4" s="152">
        <f>Economic!G4</f>
        <v>6523.7</v>
      </c>
      <c r="P4" s="152">
        <f>Economic!H4</f>
        <v>149.1</v>
      </c>
      <c r="Q4" s="152">
        <f>Economic!I4</f>
        <v>145.4</v>
      </c>
      <c r="R4" s="149">
        <f>Weather!C124</f>
        <v>1.2225806451612906</v>
      </c>
      <c r="S4" s="150">
        <f>Weather!D124</f>
        <v>582.1</v>
      </c>
      <c r="T4" s="150">
        <f>Weather!E124</f>
        <v>0</v>
      </c>
      <c r="U4" s="150">
        <f>Weather!F124</f>
        <v>520.09999999999991</v>
      </c>
      <c r="V4" s="150">
        <f>Weather!G124</f>
        <v>0</v>
      </c>
      <c r="W4" s="150">
        <f>Weather!H124</f>
        <v>458.09999999999991</v>
      </c>
      <c r="X4" s="150">
        <f>Weather!I124</f>
        <v>0</v>
      </c>
      <c r="Y4" s="150">
        <f>Weather!J124</f>
        <v>396.09999999999997</v>
      </c>
      <c r="Z4" s="150">
        <f>Weather!K124</f>
        <v>0</v>
      </c>
      <c r="AA4" s="150">
        <f>Weather!L124</f>
        <v>334.09999999999997</v>
      </c>
      <c r="AB4" s="150">
        <f>Weather!M124</f>
        <v>0</v>
      </c>
      <c r="AC4" s="150">
        <f>Weather!N124</f>
        <v>274.30000000000007</v>
      </c>
      <c r="AD4" s="150">
        <f>Weather!O124</f>
        <v>2.2000000000000011</v>
      </c>
      <c r="AE4" s="150">
        <f>Weather!P124</f>
        <v>216.70000000000002</v>
      </c>
      <c r="AF4" s="150">
        <f>Weather!Q124</f>
        <v>6.6000000000000014</v>
      </c>
      <c r="AG4" s="151">
        <v>31</v>
      </c>
      <c r="AH4" s="151">
        <v>23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f t="shared" si="5"/>
        <v>1</v>
      </c>
      <c r="AX4">
        <f t="shared" ref="AX4:AX67" si="13">1+AX3</f>
        <v>3</v>
      </c>
      <c r="AY4" s="154">
        <v>0</v>
      </c>
      <c r="AZ4" s="154">
        <f t="shared" si="6"/>
        <v>0</v>
      </c>
      <c r="BA4" s="155">
        <f t="shared" si="7"/>
        <v>0</v>
      </c>
      <c r="BB4" s="155">
        <f t="shared" si="8"/>
        <v>0</v>
      </c>
      <c r="BC4" s="155">
        <f t="shared" si="9"/>
        <v>0</v>
      </c>
      <c r="BD4" s="155">
        <f t="shared" si="10"/>
        <v>0</v>
      </c>
      <c r="BE4" s="236">
        <f t="shared" si="11"/>
        <v>0</v>
      </c>
      <c r="BF4">
        <f>X4*'Rate Class Customer Model'!O4</f>
        <v>0</v>
      </c>
      <c r="BG4" s="123">
        <f t="shared" si="12"/>
        <v>0</v>
      </c>
      <c r="BH4">
        <v>0</v>
      </c>
    </row>
    <row r="5" spans="1:60" x14ac:dyDescent="0.2">
      <c r="A5" s="3">
        <v>40634</v>
      </c>
      <c r="B5">
        <f t="shared" si="0"/>
        <v>2011</v>
      </c>
      <c r="C5">
        <f t="shared" si="1"/>
        <v>4</v>
      </c>
      <c r="D5" s="46">
        <f>Purchases!D65</f>
        <v>18252353.846153848</v>
      </c>
      <c r="E5" s="46">
        <f>Purchases!E65</f>
        <v>4732985.6480999999</v>
      </c>
      <c r="F5" s="46">
        <f ca="1">CDM!D21</f>
        <v>13718.4654010056</v>
      </c>
      <c r="G5" s="46">
        <f t="shared" ca="1" si="2"/>
        <v>18266072.311554853</v>
      </c>
      <c r="H5" s="46">
        <f t="shared" si="3"/>
        <v>13519368.198053848</v>
      </c>
      <c r="I5" s="46">
        <f t="shared" ca="1" si="4"/>
        <v>13533086.663454853</v>
      </c>
      <c r="J5" s="46">
        <f>'Rate Class Customer Model'!V5</f>
        <v>14040.666666666664</v>
      </c>
      <c r="K5" s="109">
        <f>IF(C5=12,VLOOKUP(B5,'Rate Class Customer Model'!$A$32:$J$44,10,FALSE),(VLOOKUP(B5+1,'Rate Class Customer Model'!$A$32:$J$44,10,FALSE)-VLOOKUP(B5,'Rate Class Customer Model'!$A$32:$J$44,10,FALSE))/12+K4)</f>
        <v>11366</v>
      </c>
      <c r="L5" s="152">
        <f>Economic!C5</f>
        <v>625936.9</v>
      </c>
      <c r="M5" s="152">
        <f>Economic!E5</f>
        <v>138.63869639122566</v>
      </c>
      <c r="N5" s="152">
        <f>Economic!F5</f>
        <v>6635.5</v>
      </c>
      <c r="O5" s="152">
        <f>Economic!G5</f>
        <v>6550</v>
      </c>
      <c r="P5" s="152">
        <f>Economic!H5</f>
        <v>146.30000000000001</v>
      </c>
      <c r="Q5" s="152">
        <f>Economic!I5</f>
        <v>144</v>
      </c>
      <c r="R5" s="149">
        <f>Weather!C125</f>
        <v>8.2066666666666652</v>
      </c>
      <c r="S5" s="150">
        <f>Weather!D125</f>
        <v>353.79999999999995</v>
      </c>
      <c r="T5" s="150">
        <f>Weather!E125</f>
        <v>0</v>
      </c>
      <c r="U5" s="150">
        <f>Weather!F125</f>
        <v>293.8</v>
      </c>
      <c r="V5" s="150">
        <f>Weather!G125</f>
        <v>0</v>
      </c>
      <c r="W5" s="150">
        <f>Weather!H125</f>
        <v>235.50000000000003</v>
      </c>
      <c r="X5" s="150">
        <f>Weather!I125</f>
        <v>1.6999999999999993</v>
      </c>
      <c r="Y5" s="150">
        <f>Weather!J125</f>
        <v>182.40000000000003</v>
      </c>
      <c r="Z5" s="150">
        <f>Weather!K125</f>
        <v>8.6</v>
      </c>
      <c r="AA5" s="150">
        <f>Weather!L125</f>
        <v>132.4</v>
      </c>
      <c r="AB5" s="150">
        <f>Weather!M125</f>
        <v>18.600000000000001</v>
      </c>
      <c r="AC5" s="150">
        <f>Weather!N125</f>
        <v>86</v>
      </c>
      <c r="AD5" s="150">
        <f>Weather!O125</f>
        <v>32.199999999999996</v>
      </c>
      <c r="AE5" s="150">
        <f>Weather!P125</f>
        <v>48.599999999999994</v>
      </c>
      <c r="AF5" s="150">
        <f>Weather!Q125</f>
        <v>54.8</v>
      </c>
      <c r="AG5" s="151">
        <v>30</v>
      </c>
      <c r="AH5" s="151">
        <v>19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0</v>
      </c>
      <c r="AW5">
        <f t="shared" si="5"/>
        <v>1</v>
      </c>
      <c r="AX5">
        <f t="shared" si="13"/>
        <v>4</v>
      </c>
      <c r="AY5" s="154">
        <v>0</v>
      </c>
      <c r="AZ5" s="154">
        <f t="shared" si="6"/>
        <v>0</v>
      </c>
      <c r="BA5" s="155">
        <f t="shared" si="7"/>
        <v>0</v>
      </c>
      <c r="BB5" s="155">
        <f t="shared" si="8"/>
        <v>0</v>
      </c>
      <c r="BC5" s="155">
        <f t="shared" si="9"/>
        <v>0</v>
      </c>
      <c r="BD5" s="155">
        <f t="shared" si="10"/>
        <v>0</v>
      </c>
      <c r="BE5" s="236">
        <f t="shared" si="11"/>
        <v>2.8899999999999975</v>
      </c>
      <c r="BF5">
        <f>X5*'Rate Class Customer Model'!O5</f>
        <v>16865.13333333332</v>
      </c>
      <c r="BG5" s="123">
        <f t="shared" si="12"/>
        <v>19322.199999999993</v>
      </c>
      <c r="BH5">
        <v>0</v>
      </c>
    </row>
    <row r="6" spans="1:60" x14ac:dyDescent="0.2">
      <c r="A6" s="3">
        <v>40664</v>
      </c>
      <c r="B6">
        <f t="shared" si="0"/>
        <v>2011</v>
      </c>
      <c r="C6">
        <f t="shared" si="1"/>
        <v>5</v>
      </c>
      <c r="D6" s="46">
        <f>Purchases!D66</f>
        <v>18454400</v>
      </c>
      <c r="E6" s="46">
        <f>Purchases!E66</f>
        <v>4046248.0761999995</v>
      </c>
      <c r="F6" s="46">
        <f ca="1">CDM!D22</f>
        <v>17148.081751256999</v>
      </c>
      <c r="G6" s="46">
        <f t="shared" ca="1" si="2"/>
        <v>18471548.081751257</v>
      </c>
      <c r="H6" s="46">
        <f t="shared" si="3"/>
        <v>14408151.923800001</v>
      </c>
      <c r="I6" s="46">
        <f t="shared" ca="1" si="4"/>
        <v>14425300.005551258</v>
      </c>
      <c r="J6" s="46">
        <f>'Rate Class Customer Model'!V6</f>
        <v>14047.08333333333</v>
      </c>
      <c r="K6" s="109">
        <f>IF(C6=12,VLOOKUP(B6,'Rate Class Customer Model'!$A$32:$J$44,10,FALSE),(VLOOKUP(B6+1,'Rate Class Customer Model'!$A$32:$J$44,10,FALSE)-VLOOKUP(B6,'Rate Class Customer Model'!$A$32:$J$44,10,FALSE))/12+K5)</f>
        <v>11373.75</v>
      </c>
      <c r="L6" s="152">
        <f>Economic!C6</f>
        <v>625936.9</v>
      </c>
      <c r="M6" s="152">
        <f>Economic!E6</f>
        <v>138.94231921364945</v>
      </c>
      <c r="N6" s="152">
        <f>Economic!F6</f>
        <v>6645.8</v>
      </c>
      <c r="O6" s="152">
        <f>Economic!G6</f>
        <v>6612</v>
      </c>
      <c r="P6" s="152">
        <f>Economic!H6</f>
        <v>146.9</v>
      </c>
      <c r="Q6" s="152">
        <f>Economic!I6</f>
        <v>144.6</v>
      </c>
      <c r="R6" s="149">
        <f>Weather!C126</f>
        <v>15.45483870967742</v>
      </c>
      <c r="S6" s="150">
        <f>Weather!D126</f>
        <v>159.70000000000002</v>
      </c>
      <c r="T6" s="150">
        <f>Weather!E126</f>
        <v>18.8</v>
      </c>
      <c r="U6" s="150">
        <f>Weather!F126</f>
        <v>112.29999999999998</v>
      </c>
      <c r="V6" s="150">
        <f>Weather!G126</f>
        <v>33.4</v>
      </c>
      <c r="W6" s="150">
        <f>Weather!H126</f>
        <v>70.399999999999991</v>
      </c>
      <c r="X6" s="150">
        <f>Weather!I126</f>
        <v>53.499999999999993</v>
      </c>
      <c r="Y6" s="150">
        <f>Weather!J126</f>
        <v>37.199999999999996</v>
      </c>
      <c r="Z6" s="150">
        <f>Weather!K126</f>
        <v>82.300000000000011</v>
      </c>
      <c r="AA6" s="150">
        <f>Weather!L126</f>
        <v>19.200000000000003</v>
      </c>
      <c r="AB6" s="150">
        <f>Weather!M126</f>
        <v>126.30000000000001</v>
      </c>
      <c r="AC6" s="150">
        <f>Weather!N126</f>
        <v>7.9999999999999982</v>
      </c>
      <c r="AD6" s="150">
        <f>Weather!O126</f>
        <v>177.10000000000002</v>
      </c>
      <c r="AE6" s="150">
        <f>Weather!P126</f>
        <v>2.0999999999999996</v>
      </c>
      <c r="AF6" s="150">
        <f>Weather!Q126</f>
        <v>233.19999999999996</v>
      </c>
      <c r="AG6" s="151">
        <v>31</v>
      </c>
      <c r="AH6" s="151">
        <v>21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f t="shared" si="5"/>
        <v>1</v>
      </c>
      <c r="AX6">
        <f t="shared" si="13"/>
        <v>5</v>
      </c>
      <c r="AY6" s="154">
        <v>0</v>
      </c>
      <c r="AZ6" s="154">
        <f t="shared" si="6"/>
        <v>0</v>
      </c>
      <c r="BA6" s="155">
        <f t="shared" si="7"/>
        <v>0</v>
      </c>
      <c r="BB6" s="155">
        <f t="shared" si="8"/>
        <v>0</v>
      </c>
      <c r="BC6" s="155">
        <f t="shared" si="9"/>
        <v>0</v>
      </c>
      <c r="BD6" s="155">
        <f t="shared" si="10"/>
        <v>0</v>
      </c>
      <c r="BE6" s="236">
        <f t="shared" si="11"/>
        <v>2862.2499999999991</v>
      </c>
      <c r="BF6">
        <f>X6*'Rate Class Customer Model'!O6</f>
        <v>531045.45833333314</v>
      </c>
      <c r="BG6" s="123">
        <f t="shared" si="12"/>
        <v>608495.62499999988</v>
      </c>
      <c r="BH6">
        <v>0</v>
      </c>
    </row>
    <row r="7" spans="1:60" x14ac:dyDescent="0.2">
      <c r="A7" s="3">
        <v>40695</v>
      </c>
      <c r="B7">
        <f t="shared" si="0"/>
        <v>2011</v>
      </c>
      <c r="C7">
        <f t="shared" si="1"/>
        <v>6</v>
      </c>
      <c r="D7" s="46">
        <f>Purchases!D67</f>
        <v>21528092.307692308</v>
      </c>
      <c r="E7" s="46">
        <f>Purchases!E67</f>
        <v>3885225.7753999992</v>
      </c>
      <c r="F7" s="46">
        <f ca="1">CDM!D23</f>
        <v>20577.698101508402</v>
      </c>
      <c r="G7" s="46">
        <f t="shared" ca="1" si="2"/>
        <v>21548670.005793817</v>
      </c>
      <c r="H7" s="46">
        <f t="shared" si="3"/>
        <v>17642866.53229231</v>
      </c>
      <c r="I7" s="46">
        <f t="shared" ca="1" si="4"/>
        <v>17663444.23039382</v>
      </c>
      <c r="J7" s="46">
        <f>'Rate Class Customer Model'!V7</f>
        <v>14053.499999999996</v>
      </c>
      <c r="K7" s="109">
        <f>IF(C7=12,VLOOKUP(B7,'Rate Class Customer Model'!$A$32:$J$44,10,FALSE),(VLOOKUP(B7+1,'Rate Class Customer Model'!$A$32:$J$44,10,FALSE)-VLOOKUP(B7,'Rate Class Customer Model'!$A$32:$J$44,10,FALSE))/12+K6)</f>
        <v>11381.5</v>
      </c>
      <c r="L7" s="152">
        <f>Economic!C7</f>
        <v>625936.9</v>
      </c>
      <c r="M7" s="152">
        <f>Economic!E7</f>
        <v>139.24594203607325</v>
      </c>
      <c r="N7" s="152">
        <f>Economic!F7</f>
        <v>6662</v>
      </c>
      <c r="O7" s="152">
        <f>Economic!G7</f>
        <v>6706.8</v>
      </c>
      <c r="P7" s="152">
        <f>Economic!H7</f>
        <v>147.1</v>
      </c>
      <c r="Q7" s="152">
        <f>Economic!I7</f>
        <v>146</v>
      </c>
      <c r="R7" s="149">
        <f>Weather!C127</f>
        <v>21.15666666666667</v>
      </c>
      <c r="S7" s="150">
        <f>Weather!D127</f>
        <v>24.399999999999995</v>
      </c>
      <c r="T7" s="150">
        <f>Weather!E127</f>
        <v>59.100000000000009</v>
      </c>
      <c r="U7" s="150">
        <f>Weather!F127</f>
        <v>10.099999999999994</v>
      </c>
      <c r="V7" s="150">
        <f>Weather!G127</f>
        <v>104.80000000000001</v>
      </c>
      <c r="W7" s="150">
        <f>Weather!H127</f>
        <v>1</v>
      </c>
      <c r="X7" s="150">
        <f>Weather!I127</f>
        <v>155.69999999999999</v>
      </c>
      <c r="Y7" s="150">
        <f>Weather!J127</f>
        <v>0</v>
      </c>
      <c r="Z7" s="150">
        <f>Weather!K127</f>
        <v>214.70000000000002</v>
      </c>
      <c r="AA7" s="150">
        <f>Weather!L127</f>
        <v>0</v>
      </c>
      <c r="AB7" s="150">
        <f>Weather!M127</f>
        <v>274.7</v>
      </c>
      <c r="AC7" s="150">
        <f>Weather!N127</f>
        <v>0</v>
      </c>
      <c r="AD7" s="150">
        <f>Weather!O127</f>
        <v>334.7</v>
      </c>
      <c r="AE7" s="150">
        <f>Weather!P127</f>
        <v>0</v>
      </c>
      <c r="AF7" s="150">
        <f>Weather!Q127</f>
        <v>394.7</v>
      </c>
      <c r="AG7" s="151">
        <v>30</v>
      </c>
      <c r="AH7" s="151">
        <v>22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f t="shared" si="5"/>
        <v>0</v>
      </c>
      <c r="AX7">
        <f t="shared" si="13"/>
        <v>6</v>
      </c>
      <c r="AY7" s="154">
        <v>0</v>
      </c>
      <c r="AZ7" s="154">
        <f t="shared" si="6"/>
        <v>0</v>
      </c>
      <c r="BA7" s="155">
        <f t="shared" si="7"/>
        <v>0</v>
      </c>
      <c r="BB7" s="155">
        <f t="shared" si="8"/>
        <v>0</v>
      </c>
      <c r="BC7" s="155">
        <f t="shared" si="9"/>
        <v>0</v>
      </c>
      <c r="BD7" s="155">
        <f t="shared" si="10"/>
        <v>0</v>
      </c>
      <c r="BE7" s="236">
        <f t="shared" si="11"/>
        <v>24242.489999999998</v>
      </c>
      <c r="BF7">
        <f>X7*'Rate Class Customer Model'!O7</f>
        <v>1546334.5499999993</v>
      </c>
      <c r="BG7" s="123">
        <f t="shared" si="12"/>
        <v>1772099.5499999998</v>
      </c>
      <c r="BH7">
        <v>0</v>
      </c>
    </row>
    <row r="8" spans="1:60" x14ac:dyDescent="0.2">
      <c r="A8" s="3">
        <v>40725</v>
      </c>
      <c r="B8">
        <f t="shared" si="0"/>
        <v>2011</v>
      </c>
      <c r="C8">
        <f t="shared" si="1"/>
        <v>7</v>
      </c>
      <c r="D8" s="46">
        <f>Purchases!D68</f>
        <v>28389523.076923076</v>
      </c>
      <c r="E8" s="46">
        <f>Purchases!E68</f>
        <v>4417346.6200999999</v>
      </c>
      <c r="F8" s="46">
        <f ca="1">CDM!D24</f>
        <v>24007.314451759801</v>
      </c>
      <c r="G8" s="46">
        <f t="shared" ca="1" si="2"/>
        <v>28413530.391374838</v>
      </c>
      <c r="H8" s="46">
        <f t="shared" si="3"/>
        <v>23972176.456823077</v>
      </c>
      <c r="I8" s="46">
        <f t="shared" ca="1" si="4"/>
        <v>23996183.771274839</v>
      </c>
      <c r="J8" s="46">
        <f>'Rate Class Customer Model'!V8</f>
        <v>14059.916666666662</v>
      </c>
      <c r="K8" s="109">
        <f>IF(C8=12,VLOOKUP(B8,'Rate Class Customer Model'!$A$32:$J$44,10,FALSE),(VLOOKUP(B8+1,'Rate Class Customer Model'!$A$32:$J$44,10,FALSE)-VLOOKUP(B8,'Rate Class Customer Model'!$A$32:$J$44,10,FALSE))/12+K7)</f>
        <v>11389.25</v>
      </c>
      <c r="L8" s="152">
        <f>Economic!C8</f>
        <v>625936.9</v>
      </c>
      <c r="M8" s="152">
        <f>Economic!E8</f>
        <v>139.54956485849704</v>
      </c>
      <c r="N8" s="152">
        <f>Economic!F8</f>
        <v>6665.8</v>
      </c>
      <c r="O8" s="152">
        <f>Economic!G8</f>
        <v>6755.3</v>
      </c>
      <c r="P8" s="152">
        <f>Economic!H8</f>
        <v>148</v>
      </c>
      <c r="Q8" s="152">
        <f>Economic!I8</f>
        <v>147.6</v>
      </c>
      <c r="R8" s="149">
        <f>Weather!C128</f>
        <v>25.816129032258072</v>
      </c>
      <c r="S8" s="150">
        <f>Weather!D128</f>
        <v>0</v>
      </c>
      <c r="T8" s="150">
        <f>Weather!E128</f>
        <v>180.29999999999995</v>
      </c>
      <c r="U8" s="150">
        <f>Weather!F128</f>
        <v>0</v>
      </c>
      <c r="V8" s="150">
        <f>Weather!G128</f>
        <v>242.29999999999998</v>
      </c>
      <c r="W8" s="150">
        <f>Weather!H128</f>
        <v>0</v>
      </c>
      <c r="X8" s="150">
        <f>Weather!I128</f>
        <v>304.29999999999995</v>
      </c>
      <c r="Y8" s="150">
        <f>Weather!J128</f>
        <v>0</v>
      </c>
      <c r="Z8" s="150">
        <f>Weather!K128</f>
        <v>366.29999999999995</v>
      </c>
      <c r="AA8" s="150">
        <f>Weather!L128</f>
        <v>0</v>
      </c>
      <c r="AB8" s="150">
        <f>Weather!M128</f>
        <v>428.29999999999995</v>
      </c>
      <c r="AC8" s="150">
        <f>Weather!N128</f>
        <v>0</v>
      </c>
      <c r="AD8" s="150">
        <f>Weather!O128</f>
        <v>490.3</v>
      </c>
      <c r="AE8" s="150">
        <f>Weather!P128</f>
        <v>0</v>
      </c>
      <c r="AF8" s="150">
        <f>Weather!Q128</f>
        <v>552.30000000000007</v>
      </c>
      <c r="AG8" s="151">
        <v>31</v>
      </c>
      <c r="AH8" s="151">
        <v>20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f t="shared" si="5"/>
        <v>0</v>
      </c>
      <c r="AX8">
        <f t="shared" si="13"/>
        <v>7</v>
      </c>
      <c r="AY8" s="154">
        <v>0</v>
      </c>
      <c r="AZ8" s="154">
        <f t="shared" si="6"/>
        <v>0</v>
      </c>
      <c r="BA8" s="155">
        <f t="shared" si="7"/>
        <v>0</v>
      </c>
      <c r="BB8" s="155">
        <f t="shared" si="8"/>
        <v>0</v>
      </c>
      <c r="BC8" s="155">
        <f t="shared" si="9"/>
        <v>0</v>
      </c>
      <c r="BD8" s="155">
        <f t="shared" si="10"/>
        <v>0</v>
      </c>
      <c r="BE8" s="236">
        <f t="shared" si="11"/>
        <v>92598.489999999976</v>
      </c>
      <c r="BF8">
        <f>X8*'Rate Class Customer Model'!O8</f>
        <v>3023803.7416666648</v>
      </c>
      <c r="BG8" s="123">
        <f t="shared" si="12"/>
        <v>3465748.7749999994</v>
      </c>
      <c r="BH8">
        <v>0</v>
      </c>
    </row>
    <row r="9" spans="1:60" x14ac:dyDescent="0.2">
      <c r="A9" s="3">
        <v>40756</v>
      </c>
      <c r="B9">
        <f t="shared" si="0"/>
        <v>2011</v>
      </c>
      <c r="C9">
        <f t="shared" si="1"/>
        <v>8</v>
      </c>
      <c r="D9" s="46">
        <f>Purchases!D69</f>
        <v>24810530.769230768</v>
      </c>
      <c r="E9" s="46">
        <f>Purchases!E69</f>
        <v>6295914.5817999998</v>
      </c>
      <c r="F9" s="46">
        <f ca="1">CDM!D25</f>
        <v>27436.9308020112</v>
      </c>
      <c r="G9" s="46">
        <f t="shared" ca="1" si="2"/>
        <v>24837967.700032778</v>
      </c>
      <c r="H9" s="46">
        <f t="shared" si="3"/>
        <v>18514616.187430769</v>
      </c>
      <c r="I9" s="46">
        <f t="shared" ca="1" si="4"/>
        <v>18542053.118232779</v>
      </c>
      <c r="J9" s="46">
        <f>'Rate Class Customer Model'!V9</f>
        <v>14066.333333333328</v>
      </c>
      <c r="K9" s="109">
        <f>IF(C9=12,VLOOKUP(B9,'Rate Class Customer Model'!$A$32:$J$44,10,FALSE),(VLOOKUP(B9+1,'Rate Class Customer Model'!$A$32:$J$44,10,FALSE)-VLOOKUP(B9,'Rate Class Customer Model'!$A$32:$J$44,10,FALSE))/12+K8)</f>
        <v>11397</v>
      </c>
      <c r="L9" s="152">
        <f>Economic!C9</f>
        <v>625936.9</v>
      </c>
      <c r="M9" s="152">
        <f>Economic!E9</f>
        <v>139.85318768092083</v>
      </c>
      <c r="N9" s="152">
        <f>Economic!F9</f>
        <v>6677.5</v>
      </c>
      <c r="O9" s="152">
        <f>Economic!G9</f>
        <v>6778</v>
      </c>
      <c r="P9" s="152">
        <f>Economic!H9</f>
        <v>147.9</v>
      </c>
      <c r="Q9" s="152">
        <f>Economic!I9</f>
        <v>148.69999999999999</v>
      </c>
      <c r="R9" s="149">
        <f>Weather!C129</f>
        <v>22.658064516129031</v>
      </c>
      <c r="S9" s="150">
        <f>Weather!D129</f>
        <v>0.90000000000000213</v>
      </c>
      <c r="T9" s="150">
        <f>Weather!E129</f>
        <v>83.300000000000011</v>
      </c>
      <c r="U9" s="150">
        <f>Weather!F129</f>
        <v>0</v>
      </c>
      <c r="V9" s="150">
        <f>Weather!G129</f>
        <v>144.4</v>
      </c>
      <c r="W9" s="150">
        <f>Weather!H129</f>
        <v>0</v>
      </c>
      <c r="X9" s="150">
        <f>Weather!I129</f>
        <v>206.4</v>
      </c>
      <c r="Y9" s="150">
        <f>Weather!J129</f>
        <v>0</v>
      </c>
      <c r="Z9" s="150">
        <f>Weather!K129</f>
        <v>268.40000000000009</v>
      </c>
      <c r="AA9" s="150">
        <f>Weather!L129</f>
        <v>0</v>
      </c>
      <c r="AB9" s="150">
        <f>Weather!M129</f>
        <v>330.40000000000003</v>
      </c>
      <c r="AC9" s="150">
        <f>Weather!N129</f>
        <v>0</v>
      </c>
      <c r="AD9" s="150">
        <f>Weather!O129</f>
        <v>392.40000000000003</v>
      </c>
      <c r="AE9" s="150">
        <f>Weather!P129</f>
        <v>0</v>
      </c>
      <c r="AF9" s="150">
        <f>Weather!Q129</f>
        <v>454.4</v>
      </c>
      <c r="AG9" s="151">
        <v>31</v>
      </c>
      <c r="AH9" s="151">
        <v>22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f t="shared" si="5"/>
        <v>0</v>
      </c>
      <c r="AX9">
        <f t="shared" si="13"/>
        <v>8</v>
      </c>
      <c r="AY9" s="154">
        <v>0</v>
      </c>
      <c r="AZ9" s="154">
        <f t="shared" si="6"/>
        <v>0</v>
      </c>
      <c r="BA9" s="155">
        <f t="shared" si="7"/>
        <v>0</v>
      </c>
      <c r="BB9" s="155">
        <f t="shared" si="8"/>
        <v>0</v>
      </c>
      <c r="BC9" s="155">
        <f t="shared" si="9"/>
        <v>0</v>
      </c>
      <c r="BD9" s="155">
        <f t="shared" si="10"/>
        <v>0</v>
      </c>
      <c r="BE9" s="236">
        <f t="shared" si="11"/>
        <v>42600.959999999999</v>
      </c>
      <c r="BF9">
        <f>X9*'Rate Class Customer Model'!O9</f>
        <v>2052097.5999999992</v>
      </c>
      <c r="BG9" s="123">
        <f t="shared" si="12"/>
        <v>2352340.8000000003</v>
      </c>
      <c r="BH9">
        <v>0</v>
      </c>
    </row>
    <row r="10" spans="1:60" x14ac:dyDescent="0.2">
      <c r="A10" s="3">
        <v>40787</v>
      </c>
      <c r="B10">
        <f t="shared" si="0"/>
        <v>2011</v>
      </c>
      <c r="C10">
        <f t="shared" si="1"/>
        <v>9</v>
      </c>
      <c r="D10" s="46">
        <f>Purchases!D70</f>
        <v>19628307.692307692</v>
      </c>
      <c r="E10" s="46">
        <f>Purchases!E70</f>
        <v>5299992.0924000004</v>
      </c>
      <c r="F10" s="46">
        <f ca="1">CDM!D26</f>
        <v>30866.547152262599</v>
      </c>
      <c r="G10" s="46">
        <f t="shared" ca="1" si="2"/>
        <v>19659174.239459954</v>
      </c>
      <c r="H10" s="46">
        <f t="shared" si="3"/>
        <v>14328315.599907693</v>
      </c>
      <c r="I10" s="46">
        <f t="shared" ca="1" si="4"/>
        <v>14359182.147059955</v>
      </c>
      <c r="J10" s="46">
        <f>'Rate Class Customer Model'!V10</f>
        <v>14072.749999999995</v>
      </c>
      <c r="K10" s="109">
        <f>IF(C10=12,VLOOKUP(B10,'Rate Class Customer Model'!$A$32:$J$44,10,FALSE),(VLOOKUP(B10+1,'Rate Class Customer Model'!$A$32:$J$44,10,FALSE)-VLOOKUP(B10,'Rate Class Customer Model'!$A$32:$J$44,10,FALSE))/12+K9)</f>
        <v>11404.75</v>
      </c>
      <c r="L10" s="152">
        <f>Economic!C10</f>
        <v>625936.9</v>
      </c>
      <c r="M10" s="152">
        <f>Economic!E10</f>
        <v>140.15681050334462</v>
      </c>
      <c r="N10" s="152">
        <f>Economic!F10</f>
        <v>6674.4</v>
      </c>
      <c r="O10" s="152">
        <f>Economic!G10</f>
        <v>6734.6</v>
      </c>
      <c r="P10" s="152">
        <f>Economic!H10</f>
        <v>146</v>
      </c>
      <c r="Q10" s="152">
        <f>Economic!I10</f>
        <v>148.1</v>
      </c>
      <c r="R10" s="149">
        <f>Weather!C130</f>
        <v>17.613333333333337</v>
      </c>
      <c r="S10" s="150">
        <f>Weather!D130</f>
        <v>100.2</v>
      </c>
      <c r="T10" s="150">
        <f>Weather!E130</f>
        <v>28.6</v>
      </c>
      <c r="U10" s="150">
        <f>Weather!F130</f>
        <v>59.3</v>
      </c>
      <c r="V10" s="150">
        <f>Weather!G130</f>
        <v>47.7</v>
      </c>
      <c r="W10" s="150">
        <f>Weather!H130</f>
        <v>28.200000000000003</v>
      </c>
      <c r="X10" s="150">
        <f>Weather!I130</f>
        <v>76.599999999999994</v>
      </c>
      <c r="Y10" s="150">
        <f>Weather!J130</f>
        <v>9.6</v>
      </c>
      <c r="Z10" s="150">
        <f>Weather!K130</f>
        <v>117.99999999999996</v>
      </c>
      <c r="AA10" s="150">
        <f>Weather!L130</f>
        <v>3.1999999999999993</v>
      </c>
      <c r="AB10" s="150">
        <f>Weather!M130</f>
        <v>171.59999999999997</v>
      </c>
      <c r="AC10" s="150">
        <f>Weather!N130</f>
        <v>0.40000000000000036</v>
      </c>
      <c r="AD10" s="150">
        <f>Weather!O130</f>
        <v>228.79999999999998</v>
      </c>
      <c r="AE10" s="150">
        <f>Weather!P130</f>
        <v>0</v>
      </c>
      <c r="AF10" s="150">
        <f>Weather!Q130</f>
        <v>288.40000000000003</v>
      </c>
      <c r="AG10" s="151">
        <v>30</v>
      </c>
      <c r="AH10" s="151">
        <v>21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1</v>
      </c>
      <c r="AW10">
        <f t="shared" si="5"/>
        <v>1</v>
      </c>
      <c r="AX10">
        <f t="shared" si="13"/>
        <v>9</v>
      </c>
      <c r="AY10" s="154">
        <v>0</v>
      </c>
      <c r="AZ10" s="154">
        <f t="shared" si="6"/>
        <v>0</v>
      </c>
      <c r="BA10" s="155">
        <f t="shared" si="7"/>
        <v>0</v>
      </c>
      <c r="BB10" s="155">
        <f t="shared" si="8"/>
        <v>0</v>
      </c>
      <c r="BC10" s="155">
        <f t="shared" si="9"/>
        <v>0</v>
      </c>
      <c r="BD10" s="155">
        <f t="shared" si="10"/>
        <v>0</v>
      </c>
      <c r="BE10" s="236">
        <f t="shared" si="11"/>
        <v>5867.5599999999995</v>
      </c>
      <c r="BF10">
        <f>X10*'Rate Class Customer Model'!O10</f>
        <v>761997.64999999956</v>
      </c>
      <c r="BG10" s="123">
        <f t="shared" si="12"/>
        <v>873603.85</v>
      </c>
      <c r="BH10">
        <v>0</v>
      </c>
    </row>
    <row r="11" spans="1:60" x14ac:dyDescent="0.2">
      <c r="A11" s="3">
        <v>40817</v>
      </c>
      <c r="B11">
        <f t="shared" si="0"/>
        <v>2011</v>
      </c>
      <c r="C11">
        <f t="shared" si="1"/>
        <v>10</v>
      </c>
      <c r="D11" s="46">
        <f>Purchases!D71</f>
        <v>18511823.076923076</v>
      </c>
      <c r="E11" s="46">
        <f>Purchases!E71</f>
        <v>4140209.2447999995</v>
      </c>
      <c r="F11" s="46">
        <f ca="1">CDM!D27</f>
        <v>34296.163502513999</v>
      </c>
      <c r="G11" s="46">
        <f t="shared" ca="1" si="2"/>
        <v>18546119.24042559</v>
      </c>
      <c r="H11" s="46">
        <f t="shared" si="3"/>
        <v>14371613.832123077</v>
      </c>
      <c r="I11" s="46">
        <f t="shared" ca="1" si="4"/>
        <v>14405909.995625591</v>
      </c>
      <c r="J11" s="46">
        <f>'Rate Class Customer Model'!V11</f>
        <v>14079.166666666661</v>
      </c>
      <c r="K11" s="109">
        <f>IF(C11=12,VLOOKUP(B11,'Rate Class Customer Model'!$A$32:$J$44,10,FALSE),(VLOOKUP(B11+1,'Rate Class Customer Model'!$A$32:$J$44,10,FALSE)-VLOOKUP(B11,'Rate Class Customer Model'!$A$32:$J$44,10,FALSE))/12+K10)</f>
        <v>11412.5</v>
      </c>
      <c r="L11" s="152">
        <f>Economic!C11</f>
        <v>625936.9</v>
      </c>
      <c r="M11" s="152">
        <f>Economic!E11</f>
        <v>140.46043332576841</v>
      </c>
      <c r="N11" s="152">
        <f>Economic!F11</f>
        <v>6668.1</v>
      </c>
      <c r="O11" s="152">
        <f>Economic!G11</f>
        <v>6702.2</v>
      </c>
      <c r="P11" s="152">
        <f>Economic!H11</f>
        <v>146</v>
      </c>
      <c r="Q11" s="152">
        <f>Economic!I11</f>
        <v>149.1</v>
      </c>
      <c r="R11" s="149">
        <f>Weather!C131</f>
        <v>12.03548387096774</v>
      </c>
      <c r="S11" s="150">
        <f>Weather!D131</f>
        <v>246.9</v>
      </c>
      <c r="T11" s="150">
        <f>Weather!E131</f>
        <v>0</v>
      </c>
      <c r="U11" s="150">
        <f>Weather!F131</f>
        <v>189.50000000000003</v>
      </c>
      <c r="V11" s="150">
        <f>Weather!G131</f>
        <v>4.6000000000000014</v>
      </c>
      <c r="W11" s="150">
        <f>Weather!H131</f>
        <v>138.80000000000001</v>
      </c>
      <c r="X11" s="150">
        <f>Weather!I131</f>
        <v>15.899999999999999</v>
      </c>
      <c r="Y11" s="150">
        <f>Weather!J131</f>
        <v>96.2</v>
      </c>
      <c r="Z11" s="150">
        <f>Weather!K131</f>
        <v>35.299999999999997</v>
      </c>
      <c r="AA11" s="150">
        <f>Weather!L131</f>
        <v>55.399999999999991</v>
      </c>
      <c r="AB11" s="150">
        <f>Weather!M131</f>
        <v>56.500000000000014</v>
      </c>
      <c r="AC11" s="150">
        <f>Weather!N131</f>
        <v>27.2</v>
      </c>
      <c r="AD11" s="150">
        <f>Weather!O131</f>
        <v>90.300000000000011</v>
      </c>
      <c r="AE11" s="150">
        <f>Weather!P131</f>
        <v>10.8</v>
      </c>
      <c r="AF11" s="150">
        <f>Weather!Q131</f>
        <v>135.9</v>
      </c>
      <c r="AG11" s="151">
        <v>31</v>
      </c>
      <c r="AH11" s="151">
        <v>20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1</v>
      </c>
      <c r="AW11">
        <f t="shared" si="5"/>
        <v>1</v>
      </c>
      <c r="AX11">
        <f t="shared" si="13"/>
        <v>10</v>
      </c>
      <c r="AY11" s="154">
        <v>0</v>
      </c>
      <c r="AZ11" s="154">
        <f t="shared" si="6"/>
        <v>0</v>
      </c>
      <c r="BA11" s="155">
        <f t="shared" si="7"/>
        <v>0</v>
      </c>
      <c r="BB11" s="155">
        <f t="shared" si="8"/>
        <v>0</v>
      </c>
      <c r="BC11" s="155">
        <f t="shared" si="9"/>
        <v>0</v>
      </c>
      <c r="BD11" s="155">
        <f t="shared" si="10"/>
        <v>0</v>
      </c>
      <c r="BE11" s="236">
        <f t="shared" si="11"/>
        <v>252.80999999999995</v>
      </c>
      <c r="BF11">
        <f>X11*'Rate Class Customer Model'!O11</f>
        <v>158255.34999999989</v>
      </c>
      <c r="BG11" s="123">
        <f t="shared" si="12"/>
        <v>181458.74999999997</v>
      </c>
      <c r="BH11">
        <v>0</v>
      </c>
    </row>
    <row r="12" spans="1:60" x14ac:dyDescent="0.2">
      <c r="A12" s="3">
        <v>40848</v>
      </c>
      <c r="B12">
        <f t="shared" si="0"/>
        <v>2011</v>
      </c>
      <c r="C12">
        <f t="shared" si="1"/>
        <v>11</v>
      </c>
      <c r="D12" s="46">
        <f>Purchases!D72</f>
        <v>18941946.153846152</v>
      </c>
      <c r="E12" s="46">
        <f>Purchases!E72</f>
        <v>3941621.7615999999</v>
      </c>
      <c r="F12" s="46">
        <f ca="1">CDM!D28</f>
        <v>37725.779852765401</v>
      </c>
      <c r="G12" s="46">
        <f t="shared" ca="1" si="2"/>
        <v>18979671.933698919</v>
      </c>
      <c r="H12" s="46">
        <f t="shared" si="3"/>
        <v>15000324.392246153</v>
      </c>
      <c r="I12" s="46">
        <f t="shared" ca="1" si="4"/>
        <v>15038050.17209892</v>
      </c>
      <c r="J12" s="46">
        <f>'Rate Class Customer Model'!V12</f>
        <v>14085.583333333327</v>
      </c>
      <c r="K12" s="109">
        <f>IF(C12=12,VLOOKUP(B12,'Rate Class Customer Model'!$A$32:$J$44,10,FALSE),(VLOOKUP(B12+1,'Rate Class Customer Model'!$A$32:$J$44,10,FALSE)-VLOOKUP(B12,'Rate Class Customer Model'!$A$32:$J$44,10,FALSE))/12+K11)</f>
        <v>11420.25</v>
      </c>
      <c r="L12" s="152">
        <f>Economic!C12</f>
        <v>625936.9</v>
      </c>
      <c r="M12" s="152">
        <f>Economic!E12</f>
        <v>140.7640561481922</v>
      </c>
      <c r="N12" s="152">
        <f>Economic!F12</f>
        <v>6662.8</v>
      </c>
      <c r="O12" s="152">
        <f>Economic!G12</f>
        <v>6669.4</v>
      </c>
      <c r="P12" s="152">
        <f>Economic!H12</f>
        <v>147.30000000000001</v>
      </c>
      <c r="Q12" s="152">
        <f>Economic!I12</f>
        <v>150.80000000000001</v>
      </c>
      <c r="R12" s="149">
        <f>Weather!C132</f>
        <v>7.5300000000000011</v>
      </c>
      <c r="S12" s="150">
        <f>Weather!D132</f>
        <v>374.09999999999985</v>
      </c>
      <c r="T12" s="150">
        <f>Weather!E132</f>
        <v>0</v>
      </c>
      <c r="U12" s="150">
        <f>Weather!F132</f>
        <v>314.09999999999991</v>
      </c>
      <c r="V12" s="150">
        <f>Weather!G132</f>
        <v>0</v>
      </c>
      <c r="W12" s="150">
        <f>Weather!H132</f>
        <v>254.1</v>
      </c>
      <c r="X12" s="150">
        <f>Weather!I132</f>
        <v>0</v>
      </c>
      <c r="Y12" s="150">
        <f>Weather!J132</f>
        <v>195.6</v>
      </c>
      <c r="Z12" s="150">
        <f>Weather!K132</f>
        <v>1.5</v>
      </c>
      <c r="AA12" s="150">
        <f>Weather!L132</f>
        <v>141.80000000000001</v>
      </c>
      <c r="AB12" s="150">
        <f>Weather!M132</f>
        <v>7.6999999999999993</v>
      </c>
      <c r="AC12" s="150">
        <f>Weather!N132</f>
        <v>94.500000000000043</v>
      </c>
      <c r="AD12" s="150">
        <f>Weather!O132</f>
        <v>20.399999999999999</v>
      </c>
      <c r="AE12" s="150">
        <f>Weather!P132</f>
        <v>55.699999999999996</v>
      </c>
      <c r="AF12" s="150">
        <f>Weather!Q132</f>
        <v>41.599999999999994</v>
      </c>
      <c r="AG12" s="151">
        <v>30</v>
      </c>
      <c r="AH12" s="151">
        <v>22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1</v>
      </c>
      <c r="AW12">
        <f t="shared" si="5"/>
        <v>1</v>
      </c>
      <c r="AX12">
        <f t="shared" si="13"/>
        <v>11</v>
      </c>
      <c r="AY12" s="154">
        <v>0</v>
      </c>
      <c r="AZ12" s="154">
        <f t="shared" si="6"/>
        <v>0</v>
      </c>
      <c r="BA12" s="155">
        <f t="shared" si="7"/>
        <v>0</v>
      </c>
      <c r="BB12" s="155">
        <f t="shared" si="8"/>
        <v>0</v>
      </c>
      <c r="BC12" s="155">
        <f t="shared" si="9"/>
        <v>0</v>
      </c>
      <c r="BD12" s="155">
        <f t="shared" si="10"/>
        <v>0</v>
      </c>
      <c r="BE12" s="236">
        <f t="shared" si="11"/>
        <v>0</v>
      </c>
      <c r="BF12">
        <f>X12*'Rate Class Customer Model'!O12</f>
        <v>0</v>
      </c>
      <c r="BG12" s="123">
        <f t="shared" si="12"/>
        <v>0</v>
      </c>
      <c r="BH12">
        <v>0</v>
      </c>
    </row>
    <row r="13" spans="1:60" x14ac:dyDescent="0.2">
      <c r="A13" s="3">
        <v>40878</v>
      </c>
      <c r="B13">
        <f t="shared" si="0"/>
        <v>2011</v>
      </c>
      <c r="C13">
        <f t="shared" si="1"/>
        <v>12</v>
      </c>
      <c r="D13" s="46">
        <f>Purchases!D73</f>
        <v>21539476.923076924</v>
      </c>
      <c r="E13" s="46">
        <f>Purchases!E73</f>
        <v>4160346.3289999999</v>
      </c>
      <c r="F13" s="46">
        <f ca="1">CDM!D29</f>
        <v>41155.396203016804</v>
      </c>
      <c r="G13" s="46">
        <f t="shared" ca="1" si="2"/>
        <v>21580632.319279939</v>
      </c>
      <c r="H13" s="46">
        <f t="shared" si="3"/>
        <v>17379130.594076924</v>
      </c>
      <c r="I13" s="46">
        <f t="shared" ca="1" si="4"/>
        <v>17420285.990279939</v>
      </c>
      <c r="J13" s="46">
        <f>'Rate Class Customer Model'!V13</f>
        <v>14092</v>
      </c>
      <c r="K13" s="109">
        <f>IF(C13=12,VLOOKUP(B13,'Rate Class Customer Model'!$A$32:$J$44,10,FALSE),(VLOOKUP(B13+1,'Rate Class Customer Model'!$A$32:$J$44,10,FALSE)-VLOOKUP(B13,'Rate Class Customer Model'!$A$32:$J$44,10,FALSE))/12+K12)</f>
        <v>11404</v>
      </c>
      <c r="L13" s="152">
        <f>Economic!C13</f>
        <v>625936.9</v>
      </c>
      <c r="M13" s="152">
        <f>Economic!E13</f>
        <v>141.06767897061599</v>
      </c>
      <c r="N13" s="152">
        <f>Economic!F13</f>
        <v>6667.5</v>
      </c>
      <c r="O13" s="152">
        <f>Economic!G13</f>
        <v>6668.3</v>
      </c>
      <c r="P13" s="152">
        <f>Economic!H13</f>
        <v>149.30000000000001</v>
      </c>
      <c r="Q13" s="152">
        <f>Economic!I13</f>
        <v>152.1</v>
      </c>
      <c r="R13" s="149">
        <f>Weather!C133</f>
        <v>2.0129032258064514</v>
      </c>
      <c r="S13" s="150">
        <f>Weather!D133</f>
        <v>557.60000000000014</v>
      </c>
      <c r="T13" s="150">
        <f>Weather!E133</f>
        <v>0</v>
      </c>
      <c r="U13" s="150">
        <f>Weather!F133</f>
        <v>495.60000000000014</v>
      </c>
      <c r="V13" s="150">
        <f>Weather!G133</f>
        <v>0</v>
      </c>
      <c r="W13" s="150">
        <f>Weather!H133</f>
        <v>433.60000000000008</v>
      </c>
      <c r="X13" s="150">
        <f>Weather!I133</f>
        <v>0</v>
      </c>
      <c r="Y13" s="150">
        <f>Weather!J133</f>
        <v>371.60000000000008</v>
      </c>
      <c r="Z13" s="150">
        <f>Weather!K133</f>
        <v>0</v>
      </c>
      <c r="AA13" s="150">
        <f>Weather!L133</f>
        <v>309.60000000000002</v>
      </c>
      <c r="AB13" s="150">
        <f>Weather!M133</f>
        <v>0</v>
      </c>
      <c r="AC13" s="150">
        <f>Weather!N133</f>
        <v>247.6</v>
      </c>
      <c r="AD13" s="150">
        <f>Weather!O133</f>
        <v>0</v>
      </c>
      <c r="AE13" s="150">
        <f>Weather!P133</f>
        <v>185.79999999999998</v>
      </c>
      <c r="AF13" s="150">
        <f>Weather!Q133</f>
        <v>0.19999999999999929</v>
      </c>
      <c r="AG13" s="151">
        <v>31</v>
      </c>
      <c r="AH13" s="151">
        <v>20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f t="shared" si="5"/>
        <v>0</v>
      </c>
      <c r="AX13">
        <f t="shared" si="13"/>
        <v>12</v>
      </c>
      <c r="AY13" s="154">
        <v>0</v>
      </c>
      <c r="AZ13" s="154">
        <f t="shared" si="6"/>
        <v>0</v>
      </c>
      <c r="BA13" s="155">
        <f t="shared" si="7"/>
        <v>0</v>
      </c>
      <c r="BB13" s="155">
        <f t="shared" si="8"/>
        <v>0</v>
      </c>
      <c r="BC13" s="155">
        <f t="shared" si="9"/>
        <v>0</v>
      </c>
      <c r="BD13" s="155">
        <f t="shared" si="10"/>
        <v>0</v>
      </c>
      <c r="BE13" s="236">
        <f t="shared" si="11"/>
        <v>0</v>
      </c>
      <c r="BF13">
        <f>X13*'Rate Class Customer Model'!O13</f>
        <v>0</v>
      </c>
      <c r="BG13" s="123">
        <f t="shared" si="12"/>
        <v>0</v>
      </c>
      <c r="BH13">
        <v>0</v>
      </c>
    </row>
    <row r="14" spans="1:60" x14ac:dyDescent="0.2">
      <c r="A14" s="3">
        <v>40909</v>
      </c>
      <c r="B14">
        <f t="shared" si="0"/>
        <v>2012</v>
      </c>
      <c r="C14">
        <f t="shared" si="1"/>
        <v>1</v>
      </c>
      <c r="D14" s="46">
        <f>Purchases!D74</f>
        <v>22039669.230769232</v>
      </c>
      <c r="E14" s="46">
        <f>Purchases!E74</f>
        <v>5033525.5924000004</v>
      </c>
      <c r="F14" s="46">
        <f ca="1">CDM!D30</f>
        <v>52230.414091414554</v>
      </c>
      <c r="G14" s="46">
        <f t="shared" ca="1" si="2"/>
        <v>22091899.644860648</v>
      </c>
      <c r="H14" s="46">
        <f t="shared" si="3"/>
        <v>17006143.638369232</v>
      </c>
      <c r="I14" s="46">
        <f t="shared" ca="1" si="4"/>
        <v>17058374.052460648</v>
      </c>
      <c r="J14" s="46">
        <f>'Rate Class Customer Model'!V14</f>
        <v>14100.416666666666</v>
      </c>
      <c r="K14" s="109">
        <f>IF(C14=12,VLOOKUP(B14,'Rate Class Customer Model'!$A$32:$J$44,10,FALSE),(VLOOKUP(B14+1,'Rate Class Customer Model'!$A$32:$J$44,10,FALSE)-VLOOKUP(B14,'Rate Class Customer Model'!$A$32:$J$44,10,FALSE))/12+K13)</f>
        <v>11409.166666666666</v>
      </c>
      <c r="L14" s="152">
        <f>Economic!C14</f>
        <v>634944.30000000005</v>
      </c>
      <c r="M14" s="152">
        <f>Economic!E14</f>
        <v>141.23684578433688</v>
      </c>
      <c r="N14" s="152">
        <f>Economic!F14</f>
        <v>6673.6</v>
      </c>
      <c r="O14" s="152">
        <f>Economic!G14</f>
        <v>6635.9</v>
      </c>
      <c r="P14" s="152">
        <f>Economic!H14</f>
        <v>149.5</v>
      </c>
      <c r="Q14" s="152">
        <f>Economic!I14</f>
        <v>149.5</v>
      </c>
      <c r="R14" s="149">
        <f>Weather!C134</f>
        <v>-0.92903225806451584</v>
      </c>
      <c r="S14" s="150">
        <f>Weather!D134</f>
        <v>648.79999999999995</v>
      </c>
      <c r="T14" s="150">
        <f>Weather!E134</f>
        <v>0</v>
      </c>
      <c r="U14" s="150">
        <f>Weather!F134</f>
        <v>586.79999999999995</v>
      </c>
      <c r="V14" s="150">
        <f>Weather!G134</f>
        <v>0</v>
      </c>
      <c r="W14" s="150">
        <f>Weather!H134</f>
        <v>524.80000000000007</v>
      </c>
      <c r="X14" s="150">
        <f>Weather!I134</f>
        <v>0</v>
      </c>
      <c r="Y14" s="150">
        <f>Weather!J134</f>
        <v>462.8</v>
      </c>
      <c r="Z14" s="150">
        <f>Weather!K134</f>
        <v>0</v>
      </c>
      <c r="AA14" s="150">
        <f>Weather!L134</f>
        <v>400.79999999999995</v>
      </c>
      <c r="AB14" s="150">
        <f>Weather!M134</f>
        <v>0</v>
      </c>
      <c r="AC14" s="150">
        <f>Weather!N134</f>
        <v>338.8</v>
      </c>
      <c r="AD14" s="150">
        <f>Weather!O134</f>
        <v>0</v>
      </c>
      <c r="AE14" s="150">
        <f>Weather!P134</f>
        <v>276.79999999999995</v>
      </c>
      <c r="AF14" s="150">
        <f>Weather!Q134</f>
        <v>0</v>
      </c>
      <c r="AG14" s="151">
        <f>AG2</f>
        <v>31</v>
      </c>
      <c r="AH14" s="151">
        <v>21</v>
      </c>
      <c r="AI14">
        <f>AI2</f>
        <v>1</v>
      </c>
      <c r="AJ14">
        <f t="shared" ref="AJ14:AT14" si="14">AJ2</f>
        <v>0</v>
      </c>
      <c r="AK14">
        <f t="shared" si="14"/>
        <v>0</v>
      </c>
      <c r="AL14">
        <f t="shared" si="14"/>
        <v>0</v>
      </c>
      <c r="AM14">
        <f t="shared" si="14"/>
        <v>0</v>
      </c>
      <c r="AN14">
        <f t="shared" si="14"/>
        <v>0</v>
      </c>
      <c r="AO14">
        <f t="shared" si="14"/>
        <v>0</v>
      </c>
      <c r="AP14">
        <f t="shared" si="14"/>
        <v>0</v>
      </c>
      <c r="AQ14">
        <f t="shared" si="14"/>
        <v>0</v>
      </c>
      <c r="AR14">
        <f t="shared" si="14"/>
        <v>0</v>
      </c>
      <c r="AS14">
        <f t="shared" si="14"/>
        <v>0</v>
      </c>
      <c r="AT14">
        <f t="shared" si="14"/>
        <v>0</v>
      </c>
      <c r="AU14">
        <f>AU2</f>
        <v>0</v>
      </c>
      <c r="AV14">
        <f>AV2</f>
        <v>0</v>
      </c>
      <c r="AW14">
        <f t="shared" si="5"/>
        <v>0</v>
      </c>
      <c r="AX14">
        <f t="shared" si="13"/>
        <v>13</v>
      </c>
      <c r="AY14" s="154">
        <v>0</v>
      </c>
      <c r="AZ14" s="154">
        <f t="shared" si="6"/>
        <v>0</v>
      </c>
      <c r="BA14" s="155">
        <f t="shared" si="7"/>
        <v>0</v>
      </c>
      <c r="BB14" s="155">
        <f t="shared" si="8"/>
        <v>0</v>
      </c>
      <c r="BC14" s="155">
        <f t="shared" si="9"/>
        <v>0</v>
      </c>
      <c r="BD14" s="155">
        <f t="shared" si="10"/>
        <v>0</v>
      </c>
      <c r="BE14" s="236">
        <f t="shared" si="11"/>
        <v>0</v>
      </c>
      <c r="BF14">
        <f>X14*'Rate Class Customer Model'!O14</f>
        <v>0</v>
      </c>
      <c r="BG14" s="123">
        <f t="shared" si="12"/>
        <v>0</v>
      </c>
      <c r="BH14">
        <v>0</v>
      </c>
    </row>
    <row r="15" spans="1:60" x14ac:dyDescent="0.2">
      <c r="A15" s="3">
        <v>40940</v>
      </c>
      <c r="B15">
        <f t="shared" si="0"/>
        <v>2012</v>
      </c>
      <c r="C15">
        <f t="shared" si="1"/>
        <v>2</v>
      </c>
      <c r="D15" s="46">
        <f>Purchases!D75</f>
        <v>19611361.53846154</v>
      </c>
      <c r="E15" s="46">
        <f>Purchases!E75</f>
        <v>5163650.5350000001</v>
      </c>
      <c r="F15" s="46">
        <f ca="1">CDM!D31</f>
        <v>59875.815629560908</v>
      </c>
      <c r="G15" s="46">
        <f t="shared" ca="1" si="2"/>
        <v>19671237.3540911</v>
      </c>
      <c r="H15" s="46">
        <f t="shared" si="3"/>
        <v>14447711.00346154</v>
      </c>
      <c r="I15" s="46">
        <f t="shared" ca="1" si="4"/>
        <v>14507586.8190911</v>
      </c>
      <c r="J15" s="46">
        <f>'Rate Class Customer Model'!V15</f>
        <v>14108.833333333332</v>
      </c>
      <c r="K15" s="109">
        <f>IF(C15=12,VLOOKUP(B15,'Rate Class Customer Model'!$A$32:$J$44,10,FALSE),(VLOOKUP(B15+1,'Rate Class Customer Model'!$A$32:$J$44,10,FALSE)-VLOOKUP(B15,'Rate Class Customer Model'!$A$32:$J$44,10,FALSE))/12+K14)</f>
        <v>11414.333333333332</v>
      </c>
      <c r="L15" s="152">
        <f>Economic!C15</f>
        <v>634944.30000000005</v>
      </c>
      <c r="M15" s="152">
        <f>Economic!E15</f>
        <v>141.40601259805777</v>
      </c>
      <c r="N15" s="152">
        <f>Economic!F15</f>
        <v>6670.7</v>
      </c>
      <c r="O15" s="152">
        <f>Economic!G15</f>
        <v>6598</v>
      </c>
      <c r="P15" s="152">
        <f>Economic!H15</f>
        <v>150.19999999999999</v>
      </c>
      <c r="Q15" s="152">
        <f>Economic!I15</f>
        <v>148.4</v>
      </c>
      <c r="R15" s="149">
        <f>Weather!C135</f>
        <v>0.51379310344827578</v>
      </c>
      <c r="S15" s="150">
        <f>Weather!D135</f>
        <v>565.09999999999991</v>
      </c>
      <c r="T15" s="150">
        <f>Weather!E135</f>
        <v>0</v>
      </c>
      <c r="U15" s="150">
        <f>Weather!F135</f>
        <v>507.1</v>
      </c>
      <c r="V15" s="150">
        <f>Weather!G135</f>
        <v>0</v>
      </c>
      <c r="W15" s="150">
        <f>Weather!H135</f>
        <v>449.1</v>
      </c>
      <c r="X15" s="150">
        <f>Weather!I135</f>
        <v>0</v>
      </c>
      <c r="Y15" s="150">
        <f>Weather!J135</f>
        <v>391.10000000000008</v>
      </c>
      <c r="Z15" s="150">
        <f>Weather!K135</f>
        <v>0</v>
      </c>
      <c r="AA15" s="150">
        <f>Weather!L135</f>
        <v>333.1</v>
      </c>
      <c r="AB15" s="150">
        <f>Weather!M135</f>
        <v>0</v>
      </c>
      <c r="AC15" s="150">
        <f>Weather!N135</f>
        <v>275.09999999999997</v>
      </c>
      <c r="AD15" s="150">
        <f>Weather!O135</f>
        <v>0</v>
      </c>
      <c r="AE15" s="150">
        <f>Weather!P135</f>
        <v>217.1</v>
      </c>
      <c r="AF15" s="150">
        <f>Weather!Q135</f>
        <v>0</v>
      </c>
      <c r="AG15" s="151">
        <v>29</v>
      </c>
      <c r="AH15" s="151">
        <v>20</v>
      </c>
      <c r="AI15">
        <f t="shared" ref="AI15:AV15" si="15">AI3</f>
        <v>0</v>
      </c>
      <c r="AJ15">
        <f t="shared" si="15"/>
        <v>1</v>
      </c>
      <c r="AK15">
        <f t="shared" si="15"/>
        <v>0</v>
      </c>
      <c r="AL15">
        <f t="shared" si="15"/>
        <v>0</v>
      </c>
      <c r="AM15">
        <f t="shared" si="15"/>
        <v>0</v>
      </c>
      <c r="AN15">
        <f t="shared" si="15"/>
        <v>0</v>
      </c>
      <c r="AO15">
        <f t="shared" si="15"/>
        <v>0</v>
      </c>
      <c r="AP15">
        <f t="shared" si="15"/>
        <v>0</v>
      </c>
      <c r="AQ15">
        <f t="shared" si="15"/>
        <v>0</v>
      </c>
      <c r="AR15">
        <f t="shared" si="15"/>
        <v>0</v>
      </c>
      <c r="AS15">
        <f t="shared" si="15"/>
        <v>0</v>
      </c>
      <c r="AT15">
        <f t="shared" si="15"/>
        <v>0</v>
      </c>
      <c r="AU15">
        <f t="shared" si="15"/>
        <v>0</v>
      </c>
      <c r="AV15">
        <f t="shared" si="15"/>
        <v>0</v>
      </c>
      <c r="AW15">
        <f t="shared" si="5"/>
        <v>0</v>
      </c>
      <c r="AX15">
        <f t="shared" si="13"/>
        <v>14</v>
      </c>
      <c r="AY15" s="154">
        <v>0</v>
      </c>
      <c r="AZ15" s="154">
        <f t="shared" si="6"/>
        <v>0</v>
      </c>
      <c r="BA15" s="155">
        <f t="shared" si="7"/>
        <v>0</v>
      </c>
      <c r="BB15" s="155">
        <f t="shared" si="8"/>
        <v>0</v>
      </c>
      <c r="BC15" s="155">
        <f t="shared" si="9"/>
        <v>0</v>
      </c>
      <c r="BD15" s="155">
        <f t="shared" si="10"/>
        <v>0</v>
      </c>
      <c r="BE15" s="236">
        <f t="shared" si="11"/>
        <v>0</v>
      </c>
      <c r="BF15">
        <f>X15*'Rate Class Customer Model'!O15</f>
        <v>0</v>
      </c>
      <c r="BG15" s="123">
        <f t="shared" si="12"/>
        <v>0</v>
      </c>
      <c r="BH15">
        <v>0</v>
      </c>
    </row>
    <row r="16" spans="1:60" x14ac:dyDescent="0.2">
      <c r="A16" s="3">
        <v>40969</v>
      </c>
      <c r="B16">
        <f t="shared" si="0"/>
        <v>2012</v>
      </c>
      <c r="C16">
        <f t="shared" si="1"/>
        <v>3</v>
      </c>
      <c r="D16" s="46">
        <f>Purchases!D76</f>
        <v>18499069.230769232</v>
      </c>
      <c r="E16" s="46">
        <f>Purchases!E76</f>
        <v>4524363.9985999996</v>
      </c>
      <c r="F16" s="46">
        <f ca="1">CDM!D32</f>
        <v>67521.217167707262</v>
      </c>
      <c r="G16" s="46">
        <f t="shared" ca="1" si="2"/>
        <v>18566590.447936941</v>
      </c>
      <c r="H16" s="46">
        <f t="shared" si="3"/>
        <v>13974705.232169233</v>
      </c>
      <c r="I16" s="46">
        <f t="shared" ca="1" si="4"/>
        <v>14042226.449336942</v>
      </c>
      <c r="J16" s="46">
        <f>'Rate Class Customer Model'!V16</f>
        <v>14117.249999999998</v>
      </c>
      <c r="K16" s="109">
        <f>IF(C16=12,VLOOKUP(B16,'Rate Class Customer Model'!$A$32:$J$44,10,FALSE),(VLOOKUP(B16+1,'Rate Class Customer Model'!$A$32:$J$44,10,FALSE)-VLOOKUP(B16,'Rate Class Customer Model'!$A$32:$J$44,10,FALSE))/12+K15)</f>
        <v>11419.499999999998</v>
      </c>
      <c r="L16" s="152">
        <f>Economic!C16</f>
        <v>634944.30000000005</v>
      </c>
      <c r="M16" s="152">
        <f>Economic!E16</f>
        <v>141.57517941177866</v>
      </c>
      <c r="N16" s="152">
        <f>Economic!F16</f>
        <v>6674</v>
      </c>
      <c r="O16" s="152">
        <f>Economic!G16</f>
        <v>6569.8</v>
      </c>
      <c r="P16" s="152">
        <f>Economic!H16</f>
        <v>151.80000000000001</v>
      </c>
      <c r="Q16" s="152">
        <f>Economic!I16</f>
        <v>148.5</v>
      </c>
      <c r="R16" s="149">
        <f>Weather!C136</f>
        <v>9.5516129032258075</v>
      </c>
      <c r="S16" s="150">
        <f>Weather!D136</f>
        <v>323.90000000000003</v>
      </c>
      <c r="T16" s="150">
        <f>Weather!E136</f>
        <v>0</v>
      </c>
      <c r="U16" s="150">
        <f>Weather!F136</f>
        <v>267.8</v>
      </c>
      <c r="V16" s="150">
        <f>Weather!G136</f>
        <v>5.8999999999999986</v>
      </c>
      <c r="W16" s="150">
        <f>Weather!H136</f>
        <v>215.6</v>
      </c>
      <c r="X16" s="150">
        <f>Weather!I136</f>
        <v>15.7</v>
      </c>
      <c r="Y16" s="150">
        <f>Weather!J136</f>
        <v>171.39999999999998</v>
      </c>
      <c r="Z16" s="150">
        <f>Weather!K136</f>
        <v>33.5</v>
      </c>
      <c r="AA16" s="150">
        <f>Weather!L136</f>
        <v>133</v>
      </c>
      <c r="AB16" s="150">
        <f>Weather!M136</f>
        <v>57.099999999999994</v>
      </c>
      <c r="AC16" s="150">
        <f>Weather!N136</f>
        <v>101.89999999999999</v>
      </c>
      <c r="AD16" s="150">
        <f>Weather!O136</f>
        <v>87.999999999999986</v>
      </c>
      <c r="AE16" s="150">
        <f>Weather!P136</f>
        <v>73.3</v>
      </c>
      <c r="AF16" s="150">
        <f>Weather!Q136</f>
        <v>121.39999999999999</v>
      </c>
      <c r="AG16" s="151">
        <f t="shared" ref="AG16:AG49" si="16">AG4</f>
        <v>31</v>
      </c>
      <c r="AH16" s="151">
        <v>22</v>
      </c>
      <c r="AI16">
        <f t="shared" ref="AI16:AV16" si="17">AI4</f>
        <v>0</v>
      </c>
      <c r="AJ16">
        <f t="shared" si="17"/>
        <v>0</v>
      </c>
      <c r="AK16">
        <f t="shared" si="17"/>
        <v>1</v>
      </c>
      <c r="AL16">
        <f t="shared" si="17"/>
        <v>0</v>
      </c>
      <c r="AM16">
        <f t="shared" si="17"/>
        <v>0</v>
      </c>
      <c r="AN16">
        <f t="shared" si="17"/>
        <v>0</v>
      </c>
      <c r="AO16">
        <f t="shared" si="17"/>
        <v>0</v>
      </c>
      <c r="AP16">
        <f t="shared" si="17"/>
        <v>0</v>
      </c>
      <c r="AQ16">
        <f t="shared" si="17"/>
        <v>0</v>
      </c>
      <c r="AR16">
        <f t="shared" si="17"/>
        <v>0</v>
      </c>
      <c r="AS16">
        <f t="shared" si="17"/>
        <v>0</v>
      </c>
      <c r="AT16">
        <f t="shared" si="17"/>
        <v>0</v>
      </c>
      <c r="AU16">
        <f t="shared" si="17"/>
        <v>1</v>
      </c>
      <c r="AV16">
        <f t="shared" si="17"/>
        <v>0</v>
      </c>
      <c r="AW16">
        <f t="shared" si="5"/>
        <v>1</v>
      </c>
      <c r="AX16">
        <f t="shared" si="13"/>
        <v>15</v>
      </c>
      <c r="AY16" s="154">
        <v>0</v>
      </c>
      <c r="AZ16" s="154">
        <f t="shared" si="6"/>
        <v>0</v>
      </c>
      <c r="BA16" s="155">
        <f t="shared" si="7"/>
        <v>0</v>
      </c>
      <c r="BB16" s="155">
        <f t="shared" si="8"/>
        <v>0</v>
      </c>
      <c r="BC16" s="155">
        <f t="shared" si="9"/>
        <v>0</v>
      </c>
      <c r="BD16" s="155">
        <f t="shared" si="10"/>
        <v>0</v>
      </c>
      <c r="BE16" s="236">
        <f t="shared" si="11"/>
        <v>246.48999999999998</v>
      </c>
      <c r="BF16">
        <f>X16*'Rate Class Customer Model'!O16</f>
        <v>156776.27499999999</v>
      </c>
      <c r="BG16" s="123">
        <f t="shared" si="12"/>
        <v>179286.14999999997</v>
      </c>
      <c r="BH16">
        <v>0</v>
      </c>
    </row>
    <row r="17" spans="1:60" x14ac:dyDescent="0.2">
      <c r="A17" s="3">
        <v>41000</v>
      </c>
      <c r="B17">
        <f t="shared" si="0"/>
        <v>2012</v>
      </c>
      <c r="C17">
        <f t="shared" si="1"/>
        <v>4</v>
      </c>
      <c r="D17" s="46">
        <f>Purchases!D77</f>
        <v>19946663.636363637</v>
      </c>
      <c r="E17" s="46">
        <f>Purchases!E77</f>
        <v>4020800.6875999994</v>
      </c>
      <c r="F17" s="46">
        <f ca="1">CDM!D33</f>
        <v>75166.618705853616</v>
      </c>
      <c r="G17" s="46">
        <f t="shared" ca="1" si="2"/>
        <v>20021830.255069491</v>
      </c>
      <c r="H17" s="46">
        <f t="shared" si="3"/>
        <v>15925862.948763637</v>
      </c>
      <c r="I17" s="46">
        <f t="shared" ca="1" si="4"/>
        <v>16001029.567469491</v>
      </c>
      <c r="J17" s="46">
        <f>'Rate Class Customer Model'!V17</f>
        <v>14125.666666666664</v>
      </c>
      <c r="K17" s="109">
        <f>IF(C17=12,VLOOKUP(B17,'Rate Class Customer Model'!$A$32:$J$44,10,FALSE),(VLOOKUP(B17+1,'Rate Class Customer Model'!$A$32:$J$44,10,FALSE)-VLOOKUP(B17,'Rate Class Customer Model'!$A$32:$J$44,10,FALSE))/12+K16)</f>
        <v>11424.666666666664</v>
      </c>
      <c r="L17" s="152">
        <f>Economic!C17</f>
        <v>634944.30000000005</v>
      </c>
      <c r="M17" s="152">
        <f>Economic!E17</f>
        <v>141.74434622549956</v>
      </c>
      <c r="N17" s="152">
        <f>Economic!F17</f>
        <v>6685.8</v>
      </c>
      <c r="O17" s="152">
        <f>Economic!G17</f>
        <v>6603.3</v>
      </c>
      <c r="P17" s="152">
        <f>Economic!H17</f>
        <v>152.5</v>
      </c>
      <c r="Q17" s="152">
        <f>Economic!I17</f>
        <v>150.6</v>
      </c>
      <c r="R17" s="149">
        <f>Weather!C137</f>
        <v>9.2199999999999989</v>
      </c>
      <c r="S17" s="150">
        <f>Weather!D137</f>
        <v>323.39999999999998</v>
      </c>
      <c r="T17" s="150">
        <f>Weather!E137</f>
        <v>0</v>
      </c>
      <c r="U17" s="150">
        <f>Weather!F137</f>
        <v>264.29999999999995</v>
      </c>
      <c r="V17" s="150">
        <f>Weather!G137</f>
        <v>0.89999999999999858</v>
      </c>
      <c r="W17" s="150">
        <f>Weather!H137</f>
        <v>206.29999999999998</v>
      </c>
      <c r="X17" s="150">
        <f>Weather!I137</f>
        <v>2.8999999999999986</v>
      </c>
      <c r="Y17" s="150">
        <f>Weather!J137</f>
        <v>151.60000000000002</v>
      </c>
      <c r="Z17" s="150">
        <f>Weather!K137</f>
        <v>8.1999999999999993</v>
      </c>
      <c r="AA17" s="150">
        <f>Weather!L137</f>
        <v>99.6</v>
      </c>
      <c r="AB17" s="150">
        <f>Weather!M137</f>
        <v>16.2</v>
      </c>
      <c r="AC17" s="150">
        <f>Weather!N137</f>
        <v>52.400000000000006</v>
      </c>
      <c r="AD17" s="150">
        <f>Weather!O137</f>
        <v>28.999999999999996</v>
      </c>
      <c r="AE17" s="150">
        <f>Weather!P137</f>
        <v>20.799999999999997</v>
      </c>
      <c r="AF17" s="150">
        <f>Weather!Q137</f>
        <v>57.399999999999991</v>
      </c>
      <c r="AG17" s="151">
        <f t="shared" si="16"/>
        <v>30</v>
      </c>
      <c r="AH17" s="151">
        <v>19</v>
      </c>
      <c r="AI17">
        <f t="shared" ref="AI17:AV17" si="18">AI5</f>
        <v>0</v>
      </c>
      <c r="AJ17">
        <f t="shared" si="18"/>
        <v>0</v>
      </c>
      <c r="AK17">
        <f t="shared" si="18"/>
        <v>0</v>
      </c>
      <c r="AL17">
        <f t="shared" si="18"/>
        <v>1</v>
      </c>
      <c r="AM17">
        <f t="shared" si="18"/>
        <v>0</v>
      </c>
      <c r="AN17">
        <f t="shared" si="18"/>
        <v>0</v>
      </c>
      <c r="AO17">
        <f t="shared" si="18"/>
        <v>0</v>
      </c>
      <c r="AP17">
        <f t="shared" si="18"/>
        <v>0</v>
      </c>
      <c r="AQ17">
        <f t="shared" si="18"/>
        <v>0</v>
      </c>
      <c r="AR17">
        <f t="shared" si="18"/>
        <v>0</v>
      </c>
      <c r="AS17">
        <f t="shared" si="18"/>
        <v>0</v>
      </c>
      <c r="AT17">
        <f t="shared" si="18"/>
        <v>0</v>
      </c>
      <c r="AU17">
        <f t="shared" si="18"/>
        <v>1</v>
      </c>
      <c r="AV17">
        <f t="shared" si="18"/>
        <v>0</v>
      </c>
      <c r="AW17">
        <f t="shared" si="5"/>
        <v>1</v>
      </c>
      <c r="AX17">
        <f t="shared" si="13"/>
        <v>16</v>
      </c>
      <c r="AY17" s="154">
        <v>0</v>
      </c>
      <c r="AZ17" s="154">
        <f t="shared" si="6"/>
        <v>0</v>
      </c>
      <c r="BA17" s="155">
        <f t="shared" si="7"/>
        <v>0</v>
      </c>
      <c r="BB17" s="155">
        <f t="shared" si="8"/>
        <v>0</v>
      </c>
      <c r="BC17" s="155">
        <f t="shared" si="9"/>
        <v>0</v>
      </c>
      <c r="BD17" s="155">
        <f t="shared" si="10"/>
        <v>0</v>
      </c>
      <c r="BE17" s="236">
        <f t="shared" si="11"/>
        <v>8.4099999999999913</v>
      </c>
      <c r="BF17">
        <f>X17*'Rate Class Customer Model'!O17</f>
        <v>28979.699999999986</v>
      </c>
      <c r="BG17" s="123">
        <f t="shared" si="12"/>
        <v>33131.533333333311</v>
      </c>
      <c r="BH17">
        <v>0</v>
      </c>
    </row>
    <row r="18" spans="1:60" x14ac:dyDescent="0.2">
      <c r="A18" s="3">
        <v>41030</v>
      </c>
      <c r="B18">
        <f t="shared" si="0"/>
        <v>2012</v>
      </c>
      <c r="C18">
        <f t="shared" si="1"/>
        <v>5</v>
      </c>
      <c r="D18" s="46">
        <f>Purchases!D78</f>
        <v>18352863.636363637</v>
      </c>
      <c r="E18" s="46">
        <f>Purchases!E78</f>
        <v>3715365.5429000002</v>
      </c>
      <c r="F18" s="46">
        <f ca="1">CDM!D34</f>
        <v>82812.02024399997</v>
      </c>
      <c r="G18" s="46">
        <f t="shared" ca="1" si="2"/>
        <v>18435675.656607635</v>
      </c>
      <c r="H18" s="46">
        <f t="shared" si="3"/>
        <v>14637498.093463637</v>
      </c>
      <c r="I18" s="46">
        <f t="shared" ca="1" si="4"/>
        <v>14720310.113707636</v>
      </c>
      <c r="J18" s="46">
        <f>'Rate Class Customer Model'!V18</f>
        <v>14134.08333333333</v>
      </c>
      <c r="K18" s="109">
        <f>IF(C18=12,VLOOKUP(B18,'Rate Class Customer Model'!$A$32:$J$44,10,FALSE),(VLOOKUP(B18+1,'Rate Class Customer Model'!$A$32:$J$44,10,FALSE)-VLOOKUP(B18,'Rate Class Customer Model'!$A$32:$J$44,10,FALSE))/12+K17)</f>
        <v>11429.83333333333</v>
      </c>
      <c r="L18" s="152">
        <f>Economic!C18</f>
        <v>634944.30000000005</v>
      </c>
      <c r="M18" s="152">
        <f>Economic!E18</f>
        <v>141.91351303922045</v>
      </c>
      <c r="N18" s="152">
        <f>Economic!F18</f>
        <v>6690.1</v>
      </c>
      <c r="O18" s="152">
        <f>Economic!G18</f>
        <v>6658.1</v>
      </c>
      <c r="P18" s="152">
        <f>Economic!H18</f>
        <v>152.69999999999999</v>
      </c>
      <c r="Q18" s="152">
        <f>Economic!I18</f>
        <v>151.1</v>
      </c>
      <c r="R18" s="149">
        <f>Weather!C138</f>
        <v>18.041935483870965</v>
      </c>
      <c r="S18" s="150">
        <f>Weather!D138</f>
        <v>88.799999999999983</v>
      </c>
      <c r="T18" s="150">
        <f>Weather!E138</f>
        <v>28.100000000000005</v>
      </c>
      <c r="U18" s="150">
        <f>Weather!F138</f>
        <v>50.400000000000006</v>
      </c>
      <c r="V18" s="150">
        <f>Weather!G138</f>
        <v>51.7</v>
      </c>
      <c r="W18" s="150">
        <f>Weather!H138</f>
        <v>23.3</v>
      </c>
      <c r="X18" s="150">
        <f>Weather!I138</f>
        <v>86.6</v>
      </c>
      <c r="Y18" s="150">
        <f>Weather!J138</f>
        <v>6.6999999999999993</v>
      </c>
      <c r="Z18" s="150">
        <f>Weather!K138</f>
        <v>132</v>
      </c>
      <c r="AA18" s="150">
        <f>Weather!L138</f>
        <v>0</v>
      </c>
      <c r="AB18" s="150">
        <f>Weather!M138</f>
        <v>187.30000000000004</v>
      </c>
      <c r="AC18" s="150">
        <f>Weather!N138</f>
        <v>0</v>
      </c>
      <c r="AD18" s="150">
        <f>Weather!O138</f>
        <v>249.30000000000007</v>
      </c>
      <c r="AE18" s="150">
        <f>Weather!P138</f>
        <v>0</v>
      </c>
      <c r="AF18" s="150">
        <f>Weather!Q138</f>
        <v>311.30000000000007</v>
      </c>
      <c r="AG18" s="151">
        <f t="shared" si="16"/>
        <v>31</v>
      </c>
      <c r="AH18" s="151">
        <v>22</v>
      </c>
      <c r="AI18">
        <f t="shared" ref="AI18:AV18" si="19">AI6</f>
        <v>0</v>
      </c>
      <c r="AJ18">
        <f t="shared" si="19"/>
        <v>0</v>
      </c>
      <c r="AK18">
        <f t="shared" si="19"/>
        <v>0</v>
      </c>
      <c r="AL18">
        <f t="shared" si="19"/>
        <v>0</v>
      </c>
      <c r="AM18">
        <f t="shared" si="19"/>
        <v>1</v>
      </c>
      <c r="AN18">
        <f t="shared" si="19"/>
        <v>0</v>
      </c>
      <c r="AO18">
        <f t="shared" si="19"/>
        <v>0</v>
      </c>
      <c r="AP18">
        <f t="shared" si="19"/>
        <v>0</v>
      </c>
      <c r="AQ18">
        <f t="shared" si="19"/>
        <v>0</v>
      </c>
      <c r="AR18">
        <f t="shared" si="19"/>
        <v>0</v>
      </c>
      <c r="AS18">
        <f t="shared" si="19"/>
        <v>0</v>
      </c>
      <c r="AT18">
        <f t="shared" si="19"/>
        <v>0</v>
      </c>
      <c r="AU18">
        <f t="shared" si="19"/>
        <v>1</v>
      </c>
      <c r="AV18">
        <f t="shared" si="19"/>
        <v>0</v>
      </c>
      <c r="AW18">
        <f t="shared" si="5"/>
        <v>1</v>
      </c>
      <c r="AX18">
        <f t="shared" si="13"/>
        <v>17</v>
      </c>
      <c r="AY18" s="154">
        <v>0</v>
      </c>
      <c r="AZ18" s="154">
        <f t="shared" si="6"/>
        <v>0</v>
      </c>
      <c r="BA18" s="155">
        <f t="shared" si="7"/>
        <v>0</v>
      </c>
      <c r="BB18" s="155">
        <f t="shared" si="8"/>
        <v>0</v>
      </c>
      <c r="BC18" s="155">
        <f t="shared" si="9"/>
        <v>0</v>
      </c>
      <c r="BD18" s="155">
        <f t="shared" si="10"/>
        <v>0</v>
      </c>
      <c r="BE18" s="236">
        <f t="shared" si="11"/>
        <v>7499.5599999999986</v>
      </c>
      <c r="BF18">
        <f>X18*'Rate Class Customer Model'!O18</f>
        <v>866021.64999999991</v>
      </c>
      <c r="BG18" s="123">
        <f t="shared" si="12"/>
        <v>989823.5666666663</v>
      </c>
      <c r="BH18">
        <v>0</v>
      </c>
    </row>
    <row r="19" spans="1:60" x14ac:dyDescent="0.2">
      <c r="A19" s="3">
        <v>41061</v>
      </c>
      <c r="B19">
        <f t="shared" si="0"/>
        <v>2012</v>
      </c>
      <c r="C19">
        <f t="shared" si="1"/>
        <v>6</v>
      </c>
      <c r="D19" s="46">
        <f>Purchases!D79</f>
        <v>22640936.36363636</v>
      </c>
      <c r="E19" s="46">
        <f>Purchases!E79</f>
        <v>3836936.6406</v>
      </c>
      <c r="F19" s="46">
        <f ca="1">CDM!D35</f>
        <v>90457.421782146324</v>
      </c>
      <c r="G19" s="46">
        <f t="shared" ca="1" si="2"/>
        <v>22731393.785418507</v>
      </c>
      <c r="H19" s="46">
        <f t="shared" si="3"/>
        <v>18803999.72303636</v>
      </c>
      <c r="I19" s="46">
        <f t="shared" ca="1" si="4"/>
        <v>18894457.144818507</v>
      </c>
      <c r="J19" s="46">
        <f>'Rate Class Customer Model'!V19</f>
        <v>14142.499999999996</v>
      </c>
      <c r="K19" s="109">
        <f>IF(C19=12,VLOOKUP(B19,'Rate Class Customer Model'!$A$32:$J$44,10,FALSE),(VLOOKUP(B19+1,'Rate Class Customer Model'!$A$32:$J$44,10,FALSE)-VLOOKUP(B19,'Rate Class Customer Model'!$A$32:$J$44,10,FALSE))/12+K18)</f>
        <v>11434.999999999996</v>
      </c>
      <c r="L19" s="152">
        <f>Economic!C19</f>
        <v>634944.30000000005</v>
      </c>
      <c r="M19" s="152">
        <f>Economic!E19</f>
        <v>142.08267985294134</v>
      </c>
      <c r="N19" s="152">
        <f>Economic!F19</f>
        <v>6693.3</v>
      </c>
      <c r="O19" s="152">
        <f>Economic!G19</f>
        <v>6737.2</v>
      </c>
      <c r="P19" s="152">
        <f>Economic!H19</f>
        <v>152.6</v>
      </c>
      <c r="Q19" s="152">
        <f>Economic!I19</f>
        <v>152.19999999999999</v>
      </c>
      <c r="R19" s="149">
        <f>Weather!C139</f>
        <v>22.113333333333333</v>
      </c>
      <c r="S19" s="150">
        <f>Weather!D139</f>
        <v>26.900000000000009</v>
      </c>
      <c r="T19" s="150">
        <f>Weather!E139</f>
        <v>90.300000000000011</v>
      </c>
      <c r="U19" s="150">
        <f>Weather!F139</f>
        <v>11.900000000000004</v>
      </c>
      <c r="V19" s="150">
        <f>Weather!G139</f>
        <v>135.29999999999998</v>
      </c>
      <c r="W19" s="150">
        <f>Weather!H139</f>
        <v>2.4000000000000004</v>
      </c>
      <c r="X19" s="150">
        <f>Weather!I139</f>
        <v>185.79999999999998</v>
      </c>
      <c r="Y19" s="150">
        <f>Weather!J139</f>
        <v>0</v>
      </c>
      <c r="Z19" s="150">
        <f>Weather!K139</f>
        <v>243.4</v>
      </c>
      <c r="AA19" s="150">
        <f>Weather!L139</f>
        <v>0</v>
      </c>
      <c r="AB19" s="150">
        <f>Weather!M139</f>
        <v>303.40000000000003</v>
      </c>
      <c r="AC19" s="150">
        <f>Weather!N139</f>
        <v>0</v>
      </c>
      <c r="AD19" s="150">
        <f>Weather!O139</f>
        <v>363.4</v>
      </c>
      <c r="AE19" s="150">
        <f>Weather!P139</f>
        <v>0</v>
      </c>
      <c r="AF19" s="150">
        <f>Weather!Q139</f>
        <v>423.4</v>
      </c>
      <c r="AG19" s="151">
        <f t="shared" si="16"/>
        <v>30</v>
      </c>
      <c r="AH19" s="151">
        <v>21</v>
      </c>
      <c r="AI19">
        <f t="shared" ref="AI19:AV19" si="20">AI7</f>
        <v>0</v>
      </c>
      <c r="AJ19">
        <f t="shared" si="20"/>
        <v>0</v>
      </c>
      <c r="AK19">
        <f t="shared" si="20"/>
        <v>0</v>
      </c>
      <c r="AL19">
        <f t="shared" si="20"/>
        <v>0</v>
      </c>
      <c r="AM19">
        <f t="shared" si="20"/>
        <v>0</v>
      </c>
      <c r="AN19">
        <f t="shared" si="20"/>
        <v>1</v>
      </c>
      <c r="AO19">
        <f t="shared" si="20"/>
        <v>0</v>
      </c>
      <c r="AP19">
        <f t="shared" si="20"/>
        <v>0</v>
      </c>
      <c r="AQ19">
        <f t="shared" si="20"/>
        <v>0</v>
      </c>
      <c r="AR19">
        <f t="shared" si="20"/>
        <v>0</v>
      </c>
      <c r="AS19">
        <f t="shared" si="20"/>
        <v>0</v>
      </c>
      <c r="AT19">
        <f t="shared" si="20"/>
        <v>0</v>
      </c>
      <c r="AU19">
        <f t="shared" si="20"/>
        <v>0</v>
      </c>
      <c r="AV19">
        <f t="shared" si="20"/>
        <v>0</v>
      </c>
      <c r="AW19">
        <f t="shared" si="5"/>
        <v>0</v>
      </c>
      <c r="AX19">
        <f t="shared" si="13"/>
        <v>18</v>
      </c>
      <c r="AY19" s="154">
        <v>0</v>
      </c>
      <c r="AZ19" s="154">
        <f t="shared" si="6"/>
        <v>0</v>
      </c>
      <c r="BA19" s="155">
        <f t="shared" si="7"/>
        <v>0</v>
      </c>
      <c r="BB19" s="155">
        <f t="shared" si="8"/>
        <v>0</v>
      </c>
      <c r="BC19" s="155">
        <f t="shared" si="9"/>
        <v>0</v>
      </c>
      <c r="BD19" s="155">
        <f t="shared" si="10"/>
        <v>0</v>
      </c>
      <c r="BE19" s="236">
        <f t="shared" si="11"/>
        <v>34521.639999999992</v>
      </c>
      <c r="BF19">
        <f>X19*'Rate Class Customer Model'!O19</f>
        <v>1859393.4999999998</v>
      </c>
      <c r="BG19" s="123">
        <f t="shared" si="12"/>
        <v>2124622.9999999991</v>
      </c>
      <c r="BH19">
        <v>0</v>
      </c>
    </row>
    <row r="20" spans="1:60" x14ac:dyDescent="0.2">
      <c r="A20" s="3">
        <v>41091</v>
      </c>
      <c r="B20">
        <f t="shared" si="0"/>
        <v>2012</v>
      </c>
      <c r="C20">
        <f t="shared" si="1"/>
        <v>7</v>
      </c>
      <c r="D20" s="46">
        <f>Purchases!D80</f>
        <v>27569299.999999996</v>
      </c>
      <c r="E20" s="46">
        <f>Purchases!E80</f>
        <v>4801683.09</v>
      </c>
      <c r="F20" s="46">
        <f ca="1">CDM!D36</f>
        <v>98102.823320292679</v>
      </c>
      <c r="G20" s="46">
        <f t="shared" ca="1" si="2"/>
        <v>27667402.823320288</v>
      </c>
      <c r="H20" s="46">
        <f t="shared" si="3"/>
        <v>22767616.909999996</v>
      </c>
      <c r="I20" s="46">
        <f t="shared" ca="1" si="4"/>
        <v>22865719.733320288</v>
      </c>
      <c r="J20" s="46">
        <f>'Rate Class Customer Model'!V20</f>
        <v>14150.916666666662</v>
      </c>
      <c r="K20" s="109">
        <f>IF(C20=12,VLOOKUP(B20,'Rate Class Customer Model'!$A$32:$J$44,10,FALSE),(VLOOKUP(B20+1,'Rate Class Customer Model'!$A$32:$J$44,10,FALSE)-VLOOKUP(B20,'Rate Class Customer Model'!$A$32:$J$44,10,FALSE))/12+K19)</f>
        <v>11440.166666666662</v>
      </c>
      <c r="L20" s="152">
        <f>Economic!C20</f>
        <v>634944.30000000005</v>
      </c>
      <c r="M20" s="152">
        <f>Economic!E20</f>
        <v>142.25184666666223</v>
      </c>
      <c r="N20" s="152">
        <f>Economic!F20</f>
        <v>6694.6</v>
      </c>
      <c r="O20" s="152">
        <f>Economic!G20</f>
        <v>6778.6</v>
      </c>
      <c r="P20" s="152">
        <f>Economic!H20</f>
        <v>153.80000000000001</v>
      </c>
      <c r="Q20" s="152">
        <f>Economic!I20</f>
        <v>153.4</v>
      </c>
      <c r="R20" s="149">
        <f>Weather!C140</f>
        <v>25.025806451612894</v>
      </c>
      <c r="S20" s="150">
        <f>Weather!D140</f>
        <v>0</v>
      </c>
      <c r="T20" s="150">
        <f>Weather!E140</f>
        <v>155.80000000000001</v>
      </c>
      <c r="U20" s="150">
        <f>Weather!F140</f>
        <v>0</v>
      </c>
      <c r="V20" s="150">
        <f>Weather!G140</f>
        <v>217.80000000000007</v>
      </c>
      <c r="W20" s="150">
        <f>Weather!H140</f>
        <v>0</v>
      </c>
      <c r="X20" s="150">
        <f>Weather!I140</f>
        <v>279.8</v>
      </c>
      <c r="Y20" s="150">
        <f>Weather!J140</f>
        <v>0</v>
      </c>
      <c r="Z20" s="150">
        <f>Weather!K140</f>
        <v>341.8</v>
      </c>
      <c r="AA20" s="150">
        <f>Weather!L140</f>
        <v>0</v>
      </c>
      <c r="AB20" s="150">
        <f>Weather!M140</f>
        <v>403.79999999999995</v>
      </c>
      <c r="AC20" s="150">
        <f>Weather!N140</f>
        <v>0</v>
      </c>
      <c r="AD20" s="150">
        <f>Weather!O140</f>
        <v>465.79999999999995</v>
      </c>
      <c r="AE20" s="150">
        <f>Weather!P140</f>
        <v>0</v>
      </c>
      <c r="AF20" s="150">
        <f>Weather!Q140</f>
        <v>527.79999999999995</v>
      </c>
      <c r="AG20" s="151">
        <f t="shared" si="16"/>
        <v>31</v>
      </c>
      <c r="AH20" s="151">
        <v>21</v>
      </c>
      <c r="AI20">
        <f t="shared" ref="AI20:AV20" si="21">AI8</f>
        <v>0</v>
      </c>
      <c r="AJ20">
        <f t="shared" si="21"/>
        <v>0</v>
      </c>
      <c r="AK20">
        <f t="shared" si="21"/>
        <v>0</v>
      </c>
      <c r="AL20">
        <f t="shared" si="21"/>
        <v>0</v>
      </c>
      <c r="AM20">
        <f t="shared" si="21"/>
        <v>0</v>
      </c>
      <c r="AN20">
        <f t="shared" si="21"/>
        <v>0</v>
      </c>
      <c r="AO20">
        <f t="shared" si="21"/>
        <v>1</v>
      </c>
      <c r="AP20">
        <f t="shared" si="21"/>
        <v>0</v>
      </c>
      <c r="AQ20">
        <f t="shared" si="21"/>
        <v>0</v>
      </c>
      <c r="AR20">
        <f t="shared" si="21"/>
        <v>0</v>
      </c>
      <c r="AS20">
        <f t="shared" si="21"/>
        <v>0</v>
      </c>
      <c r="AT20">
        <f t="shared" si="21"/>
        <v>0</v>
      </c>
      <c r="AU20">
        <f t="shared" si="21"/>
        <v>0</v>
      </c>
      <c r="AV20">
        <f t="shared" si="21"/>
        <v>0</v>
      </c>
      <c r="AW20">
        <f t="shared" si="5"/>
        <v>0</v>
      </c>
      <c r="AX20">
        <f t="shared" si="13"/>
        <v>19</v>
      </c>
      <c r="AY20" s="154">
        <v>0</v>
      </c>
      <c r="AZ20" s="154">
        <f t="shared" si="6"/>
        <v>0</v>
      </c>
      <c r="BA20" s="155">
        <f t="shared" si="7"/>
        <v>0</v>
      </c>
      <c r="BB20" s="155">
        <f t="shared" si="8"/>
        <v>0</v>
      </c>
      <c r="BC20" s="155">
        <f t="shared" si="9"/>
        <v>0</v>
      </c>
      <c r="BD20" s="155">
        <f t="shared" si="10"/>
        <v>0</v>
      </c>
      <c r="BE20" s="236">
        <f t="shared" si="11"/>
        <v>78288.040000000008</v>
      </c>
      <c r="BF20">
        <f>X20*'Rate Class Customer Model'!O20</f>
        <v>2802127.0500000003</v>
      </c>
      <c r="BG20" s="123">
        <f t="shared" si="12"/>
        <v>3200958.6333333324</v>
      </c>
      <c r="BH20">
        <v>0</v>
      </c>
    </row>
    <row r="21" spans="1:60" x14ac:dyDescent="0.2">
      <c r="A21" s="3">
        <v>41122</v>
      </c>
      <c r="B21">
        <f t="shared" si="0"/>
        <v>2012</v>
      </c>
      <c r="C21">
        <f t="shared" si="1"/>
        <v>8</v>
      </c>
      <c r="D21" s="46">
        <f>Purchases!D81</f>
        <v>23505663.636363633</v>
      </c>
      <c r="E21" s="46">
        <f>Purchases!E81</f>
        <v>6167729.818</v>
      </c>
      <c r="F21" s="46">
        <f ca="1">CDM!D37</f>
        <v>105748.22485843903</v>
      </c>
      <c r="G21" s="46">
        <f t="shared" ca="1" si="2"/>
        <v>23611411.861222073</v>
      </c>
      <c r="H21" s="46">
        <f t="shared" si="3"/>
        <v>17337933.818363633</v>
      </c>
      <c r="I21" s="46">
        <f t="shared" ca="1" si="4"/>
        <v>17443682.043222073</v>
      </c>
      <c r="J21" s="46">
        <f>'Rate Class Customer Model'!V21</f>
        <v>14159.333333333328</v>
      </c>
      <c r="K21" s="109">
        <f>IF(C21=12,VLOOKUP(B21,'Rate Class Customer Model'!$A$32:$J$44,10,FALSE),(VLOOKUP(B21+1,'Rate Class Customer Model'!$A$32:$J$44,10,FALSE)-VLOOKUP(B21,'Rate Class Customer Model'!$A$32:$J$44,10,FALSE))/12+K20)</f>
        <v>11445.333333333328</v>
      </c>
      <c r="L21" s="152">
        <f>Economic!C21</f>
        <v>634944.30000000005</v>
      </c>
      <c r="M21" s="152">
        <f>Economic!E21</f>
        <v>142.42101348038312</v>
      </c>
      <c r="N21" s="152">
        <f>Economic!F21</f>
        <v>6703.3</v>
      </c>
      <c r="O21" s="152">
        <f>Economic!G21</f>
        <v>6797.9</v>
      </c>
      <c r="P21" s="152">
        <f>Economic!H21</f>
        <v>154.5</v>
      </c>
      <c r="Q21" s="152">
        <f>Economic!I21</f>
        <v>155</v>
      </c>
      <c r="R21" s="149">
        <f>Weather!C141</f>
        <v>22.232258064516131</v>
      </c>
      <c r="S21" s="150">
        <f>Weather!D141</f>
        <v>6.2000000000000028</v>
      </c>
      <c r="T21" s="150">
        <f>Weather!E141</f>
        <v>75.399999999999991</v>
      </c>
      <c r="U21" s="150">
        <f>Weather!F141</f>
        <v>0.60000000000000142</v>
      </c>
      <c r="V21" s="150">
        <f>Weather!G141</f>
        <v>131.79999999999998</v>
      </c>
      <c r="W21" s="150">
        <f>Weather!H141</f>
        <v>0</v>
      </c>
      <c r="X21" s="150">
        <f>Weather!I141</f>
        <v>193.19999999999996</v>
      </c>
      <c r="Y21" s="150">
        <f>Weather!J141</f>
        <v>0</v>
      </c>
      <c r="Z21" s="150">
        <f>Weather!K141</f>
        <v>255.19999999999996</v>
      </c>
      <c r="AA21" s="150">
        <f>Weather!L141</f>
        <v>0</v>
      </c>
      <c r="AB21" s="150">
        <f>Weather!M141</f>
        <v>317.2</v>
      </c>
      <c r="AC21" s="150">
        <f>Weather!N141</f>
        <v>0</v>
      </c>
      <c r="AD21" s="150">
        <f>Weather!O141</f>
        <v>379.2</v>
      </c>
      <c r="AE21" s="150">
        <f>Weather!P141</f>
        <v>0</v>
      </c>
      <c r="AF21" s="150">
        <f>Weather!Q141</f>
        <v>441.19999999999993</v>
      </c>
      <c r="AG21" s="151">
        <f t="shared" si="16"/>
        <v>31</v>
      </c>
      <c r="AH21" s="151">
        <v>22</v>
      </c>
      <c r="AI21">
        <f t="shared" ref="AI21:AV21" si="22">AI9</f>
        <v>0</v>
      </c>
      <c r="AJ21">
        <f t="shared" si="22"/>
        <v>0</v>
      </c>
      <c r="AK21">
        <f t="shared" si="22"/>
        <v>0</v>
      </c>
      <c r="AL21">
        <f t="shared" si="22"/>
        <v>0</v>
      </c>
      <c r="AM21">
        <f t="shared" si="22"/>
        <v>0</v>
      </c>
      <c r="AN21">
        <f t="shared" si="22"/>
        <v>0</v>
      </c>
      <c r="AO21">
        <f t="shared" si="22"/>
        <v>0</v>
      </c>
      <c r="AP21">
        <f t="shared" si="22"/>
        <v>1</v>
      </c>
      <c r="AQ21">
        <f t="shared" si="22"/>
        <v>0</v>
      </c>
      <c r="AR21">
        <f t="shared" si="22"/>
        <v>0</v>
      </c>
      <c r="AS21">
        <f t="shared" si="22"/>
        <v>0</v>
      </c>
      <c r="AT21">
        <f t="shared" si="22"/>
        <v>0</v>
      </c>
      <c r="AU21">
        <f t="shared" si="22"/>
        <v>0</v>
      </c>
      <c r="AV21">
        <f t="shared" si="22"/>
        <v>0</v>
      </c>
      <c r="AW21">
        <f t="shared" si="5"/>
        <v>0</v>
      </c>
      <c r="AX21">
        <f t="shared" si="13"/>
        <v>20</v>
      </c>
      <c r="AY21" s="154">
        <v>0</v>
      </c>
      <c r="AZ21" s="154">
        <f t="shared" si="6"/>
        <v>0</v>
      </c>
      <c r="BA21" s="155">
        <f t="shared" si="7"/>
        <v>0</v>
      </c>
      <c r="BB21" s="155">
        <f t="shared" si="8"/>
        <v>0</v>
      </c>
      <c r="BC21" s="155">
        <f t="shared" si="9"/>
        <v>0</v>
      </c>
      <c r="BD21" s="155">
        <f t="shared" si="10"/>
        <v>0</v>
      </c>
      <c r="BE21" s="236">
        <f t="shared" si="11"/>
        <v>37326.239999999983</v>
      </c>
      <c r="BF21">
        <f>X21*'Rate Class Customer Model'!O21</f>
        <v>1936250.3999999997</v>
      </c>
      <c r="BG21" s="123">
        <f t="shared" si="12"/>
        <v>2211238.3999999985</v>
      </c>
      <c r="BH21">
        <v>0</v>
      </c>
    </row>
    <row r="22" spans="1:60" x14ac:dyDescent="0.2">
      <c r="A22" s="3">
        <v>41153</v>
      </c>
      <c r="B22">
        <f t="shared" si="0"/>
        <v>2012</v>
      </c>
      <c r="C22">
        <f t="shared" si="1"/>
        <v>9</v>
      </c>
      <c r="D22" s="46">
        <f>Purchases!D82</f>
        <v>18912418.18181818</v>
      </c>
      <c r="E22" s="46">
        <f>Purchases!E82</f>
        <v>5144563.318</v>
      </c>
      <c r="F22" s="46">
        <f ca="1">CDM!D38</f>
        <v>113393.62639658539</v>
      </c>
      <c r="G22" s="46">
        <f t="shared" ca="1" si="2"/>
        <v>19025811.808214765</v>
      </c>
      <c r="H22" s="46">
        <f t="shared" si="3"/>
        <v>13767854.86381818</v>
      </c>
      <c r="I22" s="46">
        <f t="shared" ca="1" si="4"/>
        <v>13881248.490214765</v>
      </c>
      <c r="J22" s="46">
        <f>'Rate Class Customer Model'!V22</f>
        <v>14167.749999999995</v>
      </c>
      <c r="K22" s="109">
        <f>IF(C22=12,VLOOKUP(B22,'Rate Class Customer Model'!$A$32:$J$44,10,FALSE),(VLOOKUP(B22+1,'Rate Class Customer Model'!$A$32:$J$44,10,FALSE)-VLOOKUP(B22,'Rate Class Customer Model'!$A$32:$J$44,10,FALSE))/12+K21)</f>
        <v>11450.499999999995</v>
      </c>
      <c r="L22" s="152">
        <f>Economic!C22</f>
        <v>634944.30000000005</v>
      </c>
      <c r="M22" s="152">
        <f>Economic!E22</f>
        <v>142.59018029410402</v>
      </c>
      <c r="N22" s="152">
        <f>Economic!F22</f>
        <v>6707.4</v>
      </c>
      <c r="O22" s="152">
        <f>Economic!G22</f>
        <v>6763.1</v>
      </c>
      <c r="P22" s="152">
        <f>Economic!H22</f>
        <v>155.1</v>
      </c>
      <c r="Q22" s="152">
        <f>Economic!I22</f>
        <v>156.9</v>
      </c>
      <c r="R22" s="149">
        <f>Weather!C142</f>
        <v>17.649999999999999</v>
      </c>
      <c r="S22" s="150">
        <f>Weather!D142</f>
        <v>99.100000000000023</v>
      </c>
      <c r="T22" s="150">
        <f>Weather!E142</f>
        <v>28.599999999999998</v>
      </c>
      <c r="U22" s="150">
        <f>Weather!F142</f>
        <v>59.599999999999994</v>
      </c>
      <c r="V22" s="150">
        <f>Weather!G142</f>
        <v>49.099999999999994</v>
      </c>
      <c r="W22" s="150">
        <f>Weather!H142</f>
        <v>29.999999999999993</v>
      </c>
      <c r="X22" s="150">
        <f>Weather!I142</f>
        <v>79.5</v>
      </c>
      <c r="Y22" s="150">
        <f>Weather!J142</f>
        <v>12.299999999999999</v>
      </c>
      <c r="Z22" s="150">
        <f>Weather!K142</f>
        <v>121.79999999999997</v>
      </c>
      <c r="AA22" s="150">
        <f>Weather!L142</f>
        <v>2</v>
      </c>
      <c r="AB22" s="150">
        <f>Weather!M142</f>
        <v>171.50000000000006</v>
      </c>
      <c r="AC22" s="150">
        <f>Weather!N142</f>
        <v>0</v>
      </c>
      <c r="AD22" s="150">
        <f>Weather!O142</f>
        <v>229.50000000000006</v>
      </c>
      <c r="AE22" s="150">
        <f>Weather!P142</f>
        <v>0</v>
      </c>
      <c r="AF22" s="150">
        <f>Weather!Q142</f>
        <v>289.50000000000011</v>
      </c>
      <c r="AG22" s="151">
        <f t="shared" si="16"/>
        <v>30</v>
      </c>
      <c r="AH22" s="151">
        <v>19</v>
      </c>
      <c r="AI22">
        <f t="shared" ref="AI22:AV22" si="23">AI10</f>
        <v>0</v>
      </c>
      <c r="AJ22">
        <f t="shared" si="23"/>
        <v>0</v>
      </c>
      <c r="AK22">
        <f t="shared" si="23"/>
        <v>0</v>
      </c>
      <c r="AL22">
        <f t="shared" si="23"/>
        <v>0</v>
      </c>
      <c r="AM22">
        <f t="shared" si="23"/>
        <v>0</v>
      </c>
      <c r="AN22">
        <f t="shared" si="23"/>
        <v>0</v>
      </c>
      <c r="AO22">
        <f t="shared" si="23"/>
        <v>0</v>
      </c>
      <c r="AP22">
        <f t="shared" si="23"/>
        <v>0</v>
      </c>
      <c r="AQ22">
        <f t="shared" si="23"/>
        <v>1</v>
      </c>
      <c r="AR22">
        <f t="shared" si="23"/>
        <v>0</v>
      </c>
      <c r="AS22">
        <f t="shared" si="23"/>
        <v>0</v>
      </c>
      <c r="AT22">
        <f t="shared" si="23"/>
        <v>0</v>
      </c>
      <c r="AU22">
        <f t="shared" si="23"/>
        <v>0</v>
      </c>
      <c r="AV22">
        <f t="shared" si="23"/>
        <v>1</v>
      </c>
      <c r="AW22">
        <f t="shared" si="5"/>
        <v>1</v>
      </c>
      <c r="AX22">
        <f t="shared" si="13"/>
        <v>21</v>
      </c>
      <c r="AY22" s="154">
        <v>0</v>
      </c>
      <c r="AZ22" s="154">
        <f t="shared" si="6"/>
        <v>0</v>
      </c>
      <c r="BA22" s="155">
        <f t="shared" si="7"/>
        <v>0</v>
      </c>
      <c r="BB22" s="155">
        <f t="shared" si="8"/>
        <v>0</v>
      </c>
      <c r="BC22" s="155">
        <f t="shared" si="9"/>
        <v>0</v>
      </c>
      <c r="BD22" s="155">
        <f t="shared" si="10"/>
        <v>0</v>
      </c>
      <c r="BE22" s="236">
        <f t="shared" si="11"/>
        <v>6320.25</v>
      </c>
      <c r="BF22">
        <f>X22*'Rate Class Customer Model'!O22</f>
        <v>797325.375</v>
      </c>
      <c r="BG22" s="123">
        <f t="shared" si="12"/>
        <v>910314.74999999953</v>
      </c>
      <c r="BH22">
        <v>0</v>
      </c>
    </row>
    <row r="23" spans="1:60" x14ac:dyDescent="0.2">
      <c r="A23" s="3">
        <v>41183</v>
      </c>
      <c r="B23">
        <f t="shared" si="0"/>
        <v>2012</v>
      </c>
      <c r="C23">
        <f t="shared" si="1"/>
        <v>10</v>
      </c>
      <c r="D23" s="46">
        <f>Purchases!D83</f>
        <v>17381318.18181818</v>
      </c>
      <c r="E23" s="46">
        <f>Purchases!E83</f>
        <v>4109515.5469999998</v>
      </c>
      <c r="F23" s="46">
        <f ca="1">CDM!D39</f>
        <v>121039.02793473174</v>
      </c>
      <c r="G23" s="46">
        <f t="shared" ca="1" si="2"/>
        <v>17502357.20975291</v>
      </c>
      <c r="H23" s="46">
        <f t="shared" si="3"/>
        <v>13271802.63481818</v>
      </c>
      <c r="I23" s="46">
        <f t="shared" ca="1" si="4"/>
        <v>13392841.66275291</v>
      </c>
      <c r="J23" s="46">
        <f>'Rate Class Customer Model'!V23</f>
        <v>14176.166666666661</v>
      </c>
      <c r="K23" s="109">
        <f>IF(C23=12,VLOOKUP(B23,'Rate Class Customer Model'!$A$32:$J$44,10,FALSE),(VLOOKUP(B23+1,'Rate Class Customer Model'!$A$32:$J$44,10,FALSE)-VLOOKUP(B23,'Rate Class Customer Model'!$A$32:$J$44,10,FALSE))/12+K22)</f>
        <v>11455.666666666661</v>
      </c>
      <c r="L23" s="152">
        <f>Economic!C23</f>
        <v>634944.30000000005</v>
      </c>
      <c r="M23" s="152">
        <f>Economic!E23</f>
        <v>142.75934710782491</v>
      </c>
      <c r="N23" s="152">
        <f>Economic!F23</f>
        <v>6710</v>
      </c>
      <c r="O23" s="152">
        <f>Economic!G23</f>
        <v>6740.9</v>
      </c>
      <c r="P23" s="152">
        <f>Economic!H23</f>
        <v>154.30000000000001</v>
      </c>
      <c r="Q23" s="152">
        <f>Economic!I23</f>
        <v>157.5</v>
      </c>
      <c r="R23" s="149">
        <f>Weather!C143</f>
        <v>11.490322580645161</v>
      </c>
      <c r="S23" s="150">
        <f>Weather!D143</f>
        <v>263.80000000000007</v>
      </c>
      <c r="T23" s="150">
        <f>Weather!E143</f>
        <v>0</v>
      </c>
      <c r="U23" s="150">
        <f>Weather!F143</f>
        <v>205.90000000000003</v>
      </c>
      <c r="V23" s="150">
        <f>Weather!G143</f>
        <v>4.1000000000000014</v>
      </c>
      <c r="W23" s="150">
        <f>Weather!H143</f>
        <v>155.80000000000001</v>
      </c>
      <c r="X23" s="150">
        <f>Weather!I143</f>
        <v>16.000000000000004</v>
      </c>
      <c r="Y23" s="150">
        <f>Weather!J143</f>
        <v>109.80000000000001</v>
      </c>
      <c r="Z23" s="150">
        <f>Weather!K143</f>
        <v>32</v>
      </c>
      <c r="AA23" s="150">
        <f>Weather!L143</f>
        <v>70.499999999999986</v>
      </c>
      <c r="AB23" s="150">
        <f>Weather!M143</f>
        <v>54.7</v>
      </c>
      <c r="AC23" s="150">
        <f>Weather!N143</f>
        <v>37.499999999999993</v>
      </c>
      <c r="AD23" s="150">
        <f>Weather!O143</f>
        <v>83.7</v>
      </c>
      <c r="AE23" s="150">
        <f>Weather!P143</f>
        <v>15.399999999999999</v>
      </c>
      <c r="AF23" s="150">
        <f>Weather!Q143</f>
        <v>123.60000000000001</v>
      </c>
      <c r="AG23" s="151">
        <f t="shared" si="16"/>
        <v>31</v>
      </c>
      <c r="AH23" s="151">
        <v>22</v>
      </c>
      <c r="AI23">
        <f t="shared" ref="AI23:AV23" si="24">AI11</f>
        <v>0</v>
      </c>
      <c r="AJ23">
        <f t="shared" si="24"/>
        <v>0</v>
      </c>
      <c r="AK23">
        <f t="shared" si="24"/>
        <v>0</v>
      </c>
      <c r="AL23">
        <f t="shared" si="24"/>
        <v>0</v>
      </c>
      <c r="AM23">
        <f t="shared" si="24"/>
        <v>0</v>
      </c>
      <c r="AN23">
        <f t="shared" si="24"/>
        <v>0</v>
      </c>
      <c r="AO23">
        <f t="shared" si="24"/>
        <v>0</v>
      </c>
      <c r="AP23">
        <f t="shared" si="24"/>
        <v>0</v>
      </c>
      <c r="AQ23">
        <f t="shared" si="24"/>
        <v>0</v>
      </c>
      <c r="AR23">
        <f t="shared" si="24"/>
        <v>1</v>
      </c>
      <c r="AS23">
        <f t="shared" si="24"/>
        <v>0</v>
      </c>
      <c r="AT23">
        <f t="shared" si="24"/>
        <v>0</v>
      </c>
      <c r="AU23">
        <f t="shared" si="24"/>
        <v>0</v>
      </c>
      <c r="AV23">
        <f t="shared" si="24"/>
        <v>1</v>
      </c>
      <c r="AW23">
        <f t="shared" si="5"/>
        <v>1</v>
      </c>
      <c r="AX23">
        <f t="shared" si="13"/>
        <v>22</v>
      </c>
      <c r="AY23" s="154">
        <v>0</v>
      </c>
      <c r="AZ23" s="154">
        <f t="shared" si="6"/>
        <v>0</v>
      </c>
      <c r="BA23" s="155">
        <f t="shared" si="7"/>
        <v>0</v>
      </c>
      <c r="BB23" s="155">
        <f t="shared" si="8"/>
        <v>0</v>
      </c>
      <c r="BC23" s="155">
        <f t="shared" si="9"/>
        <v>0</v>
      </c>
      <c r="BD23" s="155">
        <f t="shared" si="10"/>
        <v>0</v>
      </c>
      <c r="BE23" s="236">
        <f t="shared" si="11"/>
        <v>256.00000000000011</v>
      </c>
      <c r="BF23">
        <f>X23*'Rate Class Customer Model'!O23</f>
        <v>160584.00000000003</v>
      </c>
      <c r="BG23" s="123">
        <f t="shared" si="12"/>
        <v>183290.6666666666</v>
      </c>
      <c r="BH23">
        <v>0</v>
      </c>
    </row>
    <row r="24" spans="1:60" x14ac:dyDescent="0.2">
      <c r="A24" s="3">
        <v>41214</v>
      </c>
      <c r="B24">
        <f t="shared" si="0"/>
        <v>2012</v>
      </c>
      <c r="C24">
        <f t="shared" si="1"/>
        <v>11</v>
      </c>
      <c r="D24" s="46">
        <f>Purchases!D84</f>
        <v>18308972.727272727</v>
      </c>
      <c r="E24" s="46">
        <f>Purchases!E84</f>
        <v>3700252.9467000002</v>
      </c>
      <c r="F24" s="46">
        <f ca="1">CDM!D40</f>
        <v>128684.4294728781</v>
      </c>
      <c r="G24" s="46">
        <f t="shared" ca="1" si="2"/>
        <v>18437657.156745605</v>
      </c>
      <c r="H24" s="46">
        <f t="shared" si="3"/>
        <v>14608719.780572727</v>
      </c>
      <c r="I24" s="46">
        <f t="shared" ca="1" si="4"/>
        <v>14737404.210045606</v>
      </c>
      <c r="J24" s="46">
        <f>'Rate Class Customer Model'!V24</f>
        <v>14184.583333333327</v>
      </c>
      <c r="K24" s="109">
        <f>IF(C24=12,VLOOKUP(B24,'Rate Class Customer Model'!$A$32:$J$44,10,FALSE),(VLOOKUP(B24+1,'Rate Class Customer Model'!$A$32:$J$44,10,FALSE)-VLOOKUP(B24,'Rate Class Customer Model'!$A$32:$J$44,10,FALSE))/12+K23)</f>
        <v>11460.833333333327</v>
      </c>
      <c r="L24" s="152">
        <f>Economic!C24</f>
        <v>634944.30000000005</v>
      </c>
      <c r="M24" s="152">
        <f>Economic!E24</f>
        <v>142.9285139215458</v>
      </c>
      <c r="N24" s="152">
        <f>Economic!F24</f>
        <v>6722.4</v>
      </c>
      <c r="O24" s="152">
        <f>Economic!G24</f>
        <v>6727.4</v>
      </c>
      <c r="P24" s="152">
        <f>Economic!H24</f>
        <v>153.80000000000001</v>
      </c>
      <c r="Q24" s="152">
        <f>Economic!I24</f>
        <v>157.6</v>
      </c>
      <c r="R24" s="149">
        <f>Weather!C144</f>
        <v>4.4266666666666659</v>
      </c>
      <c r="S24" s="150">
        <f>Weather!D144</f>
        <v>467.20000000000005</v>
      </c>
      <c r="T24" s="150">
        <f>Weather!E144</f>
        <v>0</v>
      </c>
      <c r="U24" s="150">
        <f>Weather!F144</f>
        <v>407.2</v>
      </c>
      <c r="V24" s="150">
        <f>Weather!G144</f>
        <v>0</v>
      </c>
      <c r="W24" s="150">
        <f>Weather!H144</f>
        <v>347.2</v>
      </c>
      <c r="X24" s="150">
        <f>Weather!I144</f>
        <v>0</v>
      </c>
      <c r="Y24" s="150">
        <f>Weather!J144</f>
        <v>287.8</v>
      </c>
      <c r="Z24" s="150">
        <f>Weather!K144</f>
        <v>0.59999999999999964</v>
      </c>
      <c r="AA24" s="150">
        <f>Weather!L144</f>
        <v>229.80000000000004</v>
      </c>
      <c r="AB24" s="150">
        <f>Weather!M144</f>
        <v>2.5999999999999996</v>
      </c>
      <c r="AC24" s="150">
        <f>Weather!N144</f>
        <v>173.40000000000003</v>
      </c>
      <c r="AD24" s="150">
        <f>Weather!O144</f>
        <v>6.1999999999999993</v>
      </c>
      <c r="AE24" s="150">
        <f>Weather!P144</f>
        <v>119.89999999999999</v>
      </c>
      <c r="AF24" s="150">
        <f>Weather!Q144</f>
        <v>12.7</v>
      </c>
      <c r="AG24" s="151">
        <f t="shared" si="16"/>
        <v>30</v>
      </c>
      <c r="AH24" s="151">
        <v>22</v>
      </c>
      <c r="AI24">
        <f t="shared" ref="AI24:AV24" si="25">AI12</f>
        <v>0</v>
      </c>
      <c r="AJ24">
        <f t="shared" si="25"/>
        <v>0</v>
      </c>
      <c r="AK24">
        <f t="shared" si="25"/>
        <v>0</v>
      </c>
      <c r="AL24">
        <f t="shared" si="25"/>
        <v>0</v>
      </c>
      <c r="AM24">
        <f t="shared" si="25"/>
        <v>0</v>
      </c>
      <c r="AN24">
        <f t="shared" si="25"/>
        <v>0</v>
      </c>
      <c r="AO24">
        <f t="shared" si="25"/>
        <v>0</v>
      </c>
      <c r="AP24">
        <f t="shared" si="25"/>
        <v>0</v>
      </c>
      <c r="AQ24">
        <f t="shared" si="25"/>
        <v>0</v>
      </c>
      <c r="AR24">
        <f t="shared" si="25"/>
        <v>0</v>
      </c>
      <c r="AS24">
        <f t="shared" si="25"/>
        <v>1</v>
      </c>
      <c r="AT24">
        <f t="shared" si="25"/>
        <v>0</v>
      </c>
      <c r="AU24">
        <f t="shared" si="25"/>
        <v>0</v>
      </c>
      <c r="AV24">
        <f t="shared" si="25"/>
        <v>1</v>
      </c>
      <c r="AW24">
        <f t="shared" si="5"/>
        <v>1</v>
      </c>
      <c r="AX24">
        <f t="shared" si="13"/>
        <v>23</v>
      </c>
      <c r="AY24" s="154">
        <v>0</v>
      </c>
      <c r="AZ24" s="154">
        <f t="shared" si="6"/>
        <v>0</v>
      </c>
      <c r="BA24" s="155">
        <f t="shared" si="7"/>
        <v>0</v>
      </c>
      <c r="BB24" s="155">
        <f t="shared" si="8"/>
        <v>0</v>
      </c>
      <c r="BC24" s="155">
        <f t="shared" si="9"/>
        <v>0</v>
      </c>
      <c r="BD24" s="155">
        <f t="shared" si="10"/>
        <v>0</v>
      </c>
      <c r="BE24" s="236">
        <f t="shared" si="11"/>
        <v>0</v>
      </c>
      <c r="BF24">
        <f>X24*'Rate Class Customer Model'!O24</f>
        <v>0</v>
      </c>
      <c r="BG24" s="123">
        <f t="shared" si="12"/>
        <v>0</v>
      </c>
      <c r="BH24">
        <v>0</v>
      </c>
    </row>
    <row r="25" spans="1:60" x14ac:dyDescent="0.2">
      <c r="A25" s="3">
        <v>41244</v>
      </c>
      <c r="B25">
        <f t="shared" si="0"/>
        <v>2012</v>
      </c>
      <c r="C25">
        <f t="shared" si="1"/>
        <v>12</v>
      </c>
      <c r="D25" s="46">
        <f>Purchases!D85</f>
        <v>20133590.90909091</v>
      </c>
      <c r="E25" s="46">
        <f>Purchases!E85</f>
        <v>3952350.1461</v>
      </c>
      <c r="F25" s="46">
        <f ca="1">CDM!D41</f>
        <v>136329.83101102445</v>
      </c>
      <c r="G25" s="46">
        <f t="shared" ca="1" si="2"/>
        <v>20269920.740101933</v>
      </c>
      <c r="H25" s="46">
        <f t="shared" si="3"/>
        <v>16181240.762990911</v>
      </c>
      <c r="I25" s="46">
        <f t="shared" ca="1" si="4"/>
        <v>16317570.594001934</v>
      </c>
      <c r="J25" s="46">
        <f>'Rate Class Customer Model'!V25</f>
        <v>14193</v>
      </c>
      <c r="K25" s="109">
        <f>IF(C25=12,VLOOKUP(B25,'Rate Class Customer Model'!$A$32:$J$44,10,FALSE),(VLOOKUP(B25+1,'Rate Class Customer Model'!$A$32:$J$44,10,FALSE)-VLOOKUP(B25,'Rate Class Customer Model'!$A$32:$J$44,10,FALSE))/12+K24)</f>
        <v>11497</v>
      </c>
      <c r="L25" s="152">
        <f>Economic!C25</f>
        <v>634944.30000000005</v>
      </c>
      <c r="M25" s="152">
        <f>Economic!E25</f>
        <v>143.09768073526669</v>
      </c>
      <c r="N25" s="152">
        <f>Economic!F25</f>
        <v>6740.6</v>
      </c>
      <c r="O25" s="152">
        <f>Economic!G25</f>
        <v>6740.2</v>
      </c>
      <c r="P25" s="152">
        <f>Economic!H25</f>
        <v>152.9</v>
      </c>
      <c r="Q25" s="152">
        <f>Economic!I25</f>
        <v>155.5</v>
      </c>
      <c r="R25" s="149">
        <f>Weather!C145</f>
        <v>1.9999999999999998</v>
      </c>
      <c r="S25" s="150">
        <f>Weather!D145</f>
        <v>558</v>
      </c>
      <c r="T25" s="150">
        <f>Weather!E145</f>
        <v>0</v>
      </c>
      <c r="U25" s="150">
        <f>Weather!F145</f>
        <v>495.99999999999994</v>
      </c>
      <c r="V25" s="150">
        <f>Weather!G145</f>
        <v>0</v>
      </c>
      <c r="W25" s="150">
        <f>Weather!H145</f>
        <v>433.99999999999994</v>
      </c>
      <c r="X25" s="150">
        <f>Weather!I145</f>
        <v>0</v>
      </c>
      <c r="Y25" s="150">
        <f>Weather!J145</f>
        <v>372</v>
      </c>
      <c r="Z25" s="150">
        <f>Weather!K145</f>
        <v>0</v>
      </c>
      <c r="AA25" s="150">
        <f>Weather!L145</f>
        <v>310</v>
      </c>
      <c r="AB25" s="150">
        <f>Weather!M145</f>
        <v>0</v>
      </c>
      <c r="AC25" s="150">
        <f>Weather!N145</f>
        <v>249.30000000000004</v>
      </c>
      <c r="AD25" s="150">
        <f>Weather!O145</f>
        <v>1.3000000000000007</v>
      </c>
      <c r="AE25" s="150">
        <f>Weather!P145</f>
        <v>195</v>
      </c>
      <c r="AF25" s="150">
        <f>Weather!Q145</f>
        <v>9.0000000000000018</v>
      </c>
      <c r="AG25" s="151">
        <f t="shared" si="16"/>
        <v>31</v>
      </c>
      <c r="AH25" s="151">
        <v>19</v>
      </c>
      <c r="AI25">
        <f t="shared" ref="AI25:AV25" si="26">AI13</f>
        <v>0</v>
      </c>
      <c r="AJ25">
        <f t="shared" si="26"/>
        <v>0</v>
      </c>
      <c r="AK25">
        <f t="shared" si="26"/>
        <v>0</v>
      </c>
      <c r="AL25">
        <f t="shared" si="26"/>
        <v>0</v>
      </c>
      <c r="AM25">
        <f t="shared" si="26"/>
        <v>0</v>
      </c>
      <c r="AN25">
        <f t="shared" si="26"/>
        <v>0</v>
      </c>
      <c r="AO25">
        <f t="shared" si="26"/>
        <v>0</v>
      </c>
      <c r="AP25">
        <f t="shared" si="26"/>
        <v>0</v>
      </c>
      <c r="AQ25">
        <f t="shared" si="26"/>
        <v>0</v>
      </c>
      <c r="AR25">
        <f t="shared" si="26"/>
        <v>0</v>
      </c>
      <c r="AS25">
        <f t="shared" si="26"/>
        <v>0</v>
      </c>
      <c r="AT25">
        <f t="shared" si="26"/>
        <v>1</v>
      </c>
      <c r="AU25">
        <f t="shared" si="26"/>
        <v>0</v>
      </c>
      <c r="AV25">
        <f t="shared" si="26"/>
        <v>0</v>
      </c>
      <c r="AW25">
        <f t="shared" si="5"/>
        <v>0</v>
      </c>
      <c r="AX25">
        <f t="shared" si="13"/>
        <v>24</v>
      </c>
      <c r="AY25" s="154">
        <v>0</v>
      </c>
      <c r="AZ25" s="154">
        <f t="shared" si="6"/>
        <v>0</v>
      </c>
      <c r="BA25" s="155">
        <f t="shared" si="7"/>
        <v>0</v>
      </c>
      <c r="BB25" s="155">
        <f t="shared" si="8"/>
        <v>0</v>
      </c>
      <c r="BC25" s="155">
        <f t="shared" si="9"/>
        <v>0</v>
      </c>
      <c r="BD25" s="155">
        <f t="shared" si="10"/>
        <v>0</v>
      </c>
      <c r="BE25" s="236">
        <f t="shared" si="11"/>
        <v>0</v>
      </c>
      <c r="BF25">
        <f>X25*'Rate Class Customer Model'!O25</f>
        <v>0</v>
      </c>
      <c r="BG25" s="123">
        <f t="shared" si="12"/>
        <v>0</v>
      </c>
      <c r="BH25">
        <v>0</v>
      </c>
    </row>
    <row r="26" spans="1:60" x14ac:dyDescent="0.2">
      <c r="A26" s="3">
        <v>41275</v>
      </c>
      <c r="B26">
        <f t="shared" si="0"/>
        <v>2013</v>
      </c>
      <c r="C26">
        <f t="shared" si="1"/>
        <v>1</v>
      </c>
      <c r="D26" s="46">
        <f>Purchases!D86</f>
        <v>23386699.999999996</v>
      </c>
      <c r="E26" s="46">
        <f>Purchases!E86</f>
        <v>4815275.5839999998</v>
      </c>
      <c r="F26" s="46">
        <f ca="1">CDM!D42</f>
        <v>148142.84654301283</v>
      </c>
      <c r="G26" s="46">
        <f t="shared" ca="1" si="2"/>
        <v>23534842.84654301</v>
      </c>
      <c r="H26" s="46">
        <f t="shared" si="3"/>
        <v>18571424.415999997</v>
      </c>
      <c r="I26" s="46">
        <f t="shared" ca="1" si="4"/>
        <v>18719567.262543011</v>
      </c>
      <c r="J26" s="46">
        <f>'Rate Class Customer Model'!V26</f>
        <v>14198.916666666666</v>
      </c>
      <c r="K26" s="109">
        <f>IF(C26=12,VLOOKUP(B26,'Rate Class Customer Model'!$A$32:$J$44,10,FALSE),(VLOOKUP(B26+1,'Rate Class Customer Model'!$A$32:$J$44,10,FALSE)-VLOOKUP(B26,'Rate Class Customer Model'!$A$32:$J$44,10,FALSE))/12+K25)</f>
        <v>11505.083333333334</v>
      </c>
      <c r="L26" s="152">
        <f>Economic!C26</f>
        <v>643937</v>
      </c>
      <c r="M26" s="152">
        <f>Economic!E26</f>
        <v>143.26657147018994</v>
      </c>
      <c r="N26" s="152">
        <f>Economic!F26</f>
        <v>6758.8</v>
      </c>
      <c r="O26" s="152">
        <f>Economic!G26</f>
        <v>6721.7</v>
      </c>
      <c r="P26" s="152">
        <f>Economic!H26</f>
        <v>151.4</v>
      </c>
      <c r="Q26" s="152">
        <f>Economic!I26</f>
        <v>151.1</v>
      </c>
      <c r="R26" s="149">
        <f>Weather!C146</f>
        <v>-1.7903225806451613</v>
      </c>
      <c r="S26" s="150">
        <f>Weather!D146</f>
        <v>675.50000000000011</v>
      </c>
      <c r="T26" s="150">
        <f>Weather!E146</f>
        <v>0</v>
      </c>
      <c r="U26" s="150">
        <f>Weather!F146</f>
        <v>613.5</v>
      </c>
      <c r="V26" s="150">
        <f>Weather!G146</f>
        <v>0</v>
      </c>
      <c r="W26" s="150">
        <f>Weather!H146</f>
        <v>551.5</v>
      </c>
      <c r="X26" s="150">
        <f>Weather!I146</f>
        <v>0</v>
      </c>
      <c r="Y26" s="150">
        <f>Weather!J146</f>
        <v>489.49999999999994</v>
      </c>
      <c r="Z26" s="150">
        <f>Weather!K146</f>
        <v>0</v>
      </c>
      <c r="AA26" s="150">
        <f>Weather!L146</f>
        <v>427.5</v>
      </c>
      <c r="AB26" s="150">
        <f>Weather!M146</f>
        <v>0</v>
      </c>
      <c r="AC26" s="150">
        <f>Weather!N146</f>
        <v>366.09999999999997</v>
      </c>
      <c r="AD26" s="150">
        <f>Weather!O146</f>
        <v>0.59999999999999964</v>
      </c>
      <c r="AE26" s="150">
        <f>Weather!P146</f>
        <v>306.79999999999995</v>
      </c>
      <c r="AF26" s="150">
        <f>Weather!Q146</f>
        <v>3.2999999999999989</v>
      </c>
      <c r="AG26" s="151">
        <f t="shared" si="16"/>
        <v>31</v>
      </c>
      <c r="AH26" s="151">
        <v>22</v>
      </c>
      <c r="AI26">
        <f t="shared" ref="AI26:AV26" si="27">AI14</f>
        <v>1</v>
      </c>
      <c r="AJ26">
        <f t="shared" si="27"/>
        <v>0</v>
      </c>
      <c r="AK26">
        <f t="shared" si="27"/>
        <v>0</v>
      </c>
      <c r="AL26">
        <f t="shared" si="27"/>
        <v>0</v>
      </c>
      <c r="AM26">
        <f t="shared" si="27"/>
        <v>0</v>
      </c>
      <c r="AN26">
        <f t="shared" si="27"/>
        <v>0</v>
      </c>
      <c r="AO26">
        <f t="shared" si="27"/>
        <v>0</v>
      </c>
      <c r="AP26">
        <f t="shared" si="27"/>
        <v>0</v>
      </c>
      <c r="AQ26">
        <f t="shared" si="27"/>
        <v>0</v>
      </c>
      <c r="AR26">
        <f t="shared" si="27"/>
        <v>0</v>
      </c>
      <c r="AS26">
        <f t="shared" si="27"/>
        <v>0</v>
      </c>
      <c r="AT26">
        <f t="shared" si="27"/>
        <v>0</v>
      </c>
      <c r="AU26">
        <f t="shared" si="27"/>
        <v>0</v>
      </c>
      <c r="AV26">
        <f t="shared" si="27"/>
        <v>0</v>
      </c>
      <c r="AW26">
        <f t="shared" si="5"/>
        <v>0</v>
      </c>
      <c r="AX26">
        <f t="shared" si="13"/>
        <v>25</v>
      </c>
      <c r="AY26" s="154">
        <v>0</v>
      </c>
      <c r="AZ26" s="154">
        <f t="shared" si="6"/>
        <v>0</v>
      </c>
      <c r="BA26" s="155">
        <f t="shared" si="7"/>
        <v>0</v>
      </c>
      <c r="BB26" s="155">
        <f t="shared" si="8"/>
        <v>0</v>
      </c>
      <c r="BC26" s="155">
        <f t="shared" si="9"/>
        <v>0</v>
      </c>
      <c r="BD26" s="155">
        <f t="shared" si="10"/>
        <v>0</v>
      </c>
      <c r="BE26" s="236">
        <f t="shared" si="11"/>
        <v>0</v>
      </c>
      <c r="BF26">
        <f>X26*'Rate Class Customer Model'!O26</f>
        <v>0</v>
      </c>
      <c r="BG26" s="123">
        <f t="shared" si="12"/>
        <v>0</v>
      </c>
      <c r="BH26">
        <v>0</v>
      </c>
    </row>
    <row r="27" spans="1:60" x14ac:dyDescent="0.2">
      <c r="A27" s="3">
        <v>41306</v>
      </c>
      <c r="B27">
        <f t="shared" si="0"/>
        <v>2013</v>
      </c>
      <c r="C27">
        <f t="shared" si="1"/>
        <v>2</v>
      </c>
      <c r="D27" s="46">
        <f>Purchases!D87</f>
        <v>21170572.727272727</v>
      </c>
      <c r="E27" s="46">
        <f>Purchases!E87</f>
        <v>5121922.8539999994</v>
      </c>
      <c r="F27" s="46">
        <f ca="1">CDM!D43</f>
        <v>152310.46053685484</v>
      </c>
      <c r="G27" s="46">
        <f t="shared" ca="1" si="2"/>
        <v>21322883.187809583</v>
      </c>
      <c r="H27" s="46">
        <f t="shared" si="3"/>
        <v>16048649.873272728</v>
      </c>
      <c r="I27" s="46">
        <f t="shared" ca="1" si="4"/>
        <v>16200960.333809584</v>
      </c>
      <c r="J27" s="46">
        <f>'Rate Class Customer Model'!V27</f>
        <v>14204.833333333332</v>
      </c>
      <c r="K27" s="109">
        <f>IF(C27=12,VLOOKUP(B27,'Rate Class Customer Model'!$A$32:$J$44,10,FALSE),(VLOOKUP(B27+1,'Rate Class Customer Model'!$A$32:$J$44,10,FALSE)-VLOOKUP(B27,'Rate Class Customer Model'!$A$32:$J$44,10,FALSE))/12+K26)</f>
        <v>11513.166666666668</v>
      </c>
      <c r="L27" s="152">
        <f>Economic!C27</f>
        <v>643937</v>
      </c>
      <c r="M27" s="152">
        <f>Economic!E27</f>
        <v>143.4354622051132</v>
      </c>
      <c r="N27" s="152">
        <f>Economic!F27</f>
        <v>6775.5</v>
      </c>
      <c r="O27" s="152">
        <f>Economic!G27</f>
        <v>6702</v>
      </c>
      <c r="P27" s="152">
        <f>Economic!H27</f>
        <v>151.9</v>
      </c>
      <c r="Q27" s="152">
        <f>Economic!I27</f>
        <v>150.19999999999999</v>
      </c>
      <c r="R27" s="149">
        <f>Weather!C147</f>
        <v>-3.1000000000000005</v>
      </c>
      <c r="S27" s="150">
        <f>Weather!D147</f>
        <v>646.79999999999995</v>
      </c>
      <c r="T27" s="150">
        <f>Weather!E147</f>
        <v>0</v>
      </c>
      <c r="U27" s="150">
        <f>Weather!F147</f>
        <v>590.79999999999995</v>
      </c>
      <c r="V27" s="150">
        <f>Weather!G147</f>
        <v>0</v>
      </c>
      <c r="W27" s="150">
        <f>Weather!H147</f>
        <v>534.79999999999995</v>
      </c>
      <c r="X27" s="150">
        <f>Weather!I147</f>
        <v>0</v>
      </c>
      <c r="Y27" s="150">
        <f>Weather!J147</f>
        <v>478.79999999999995</v>
      </c>
      <c r="Z27" s="150">
        <f>Weather!K147</f>
        <v>0</v>
      </c>
      <c r="AA27" s="150">
        <f>Weather!L147</f>
        <v>422.79999999999995</v>
      </c>
      <c r="AB27" s="150">
        <f>Weather!M147</f>
        <v>0</v>
      </c>
      <c r="AC27" s="150">
        <f>Weather!N147</f>
        <v>366.79999999999995</v>
      </c>
      <c r="AD27" s="150">
        <f>Weather!O147</f>
        <v>0</v>
      </c>
      <c r="AE27" s="150">
        <f>Weather!P147</f>
        <v>310.79999999999995</v>
      </c>
      <c r="AF27" s="150">
        <f>Weather!Q147</f>
        <v>0</v>
      </c>
      <c r="AG27" s="151">
        <v>28</v>
      </c>
      <c r="AH27" s="151">
        <v>19</v>
      </c>
      <c r="AI27">
        <f t="shared" ref="AI27:AV27" si="28">AI15</f>
        <v>0</v>
      </c>
      <c r="AJ27">
        <f t="shared" si="28"/>
        <v>1</v>
      </c>
      <c r="AK27">
        <f t="shared" si="28"/>
        <v>0</v>
      </c>
      <c r="AL27">
        <f t="shared" si="28"/>
        <v>0</v>
      </c>
      <c r="AM27">
        <f t="shared" si="28"/>
        <v>0</v>
      </c>
      <c r="AN27">
        <f t="shared" si="28"/>
        <v>0</v>
      </c>
      <c r="AO27">
        <f t="shared" si="28"/>
        <v>0</v>
      </c>
      <c r="AP27">
        <f t="shared" si="28"/>
        <v>0</v>
      </c>
      <c r="AQ27">
        <f t="shared" si="28"/>
        <v>0</v>
      </c>
      <c r="AR27">
        <f t="shared" si="28"/>
        <v>0</v>
      </c>
      <c r="AS27">
        <f t="shared" si="28"/>
        <v>0</v>
      </c>
      <c r="AT27">
        <f t="shared" si="28"/>
        <v>0</v>
      </c>
      <c r="AU27">
        <f t="shared" si="28"/>
        <v>0</v>
      </c>
      <c r="AV27">
        <f t="shared" si="28"/>
        <v>0</v>
      </c>
      <c r="AW27">
        <f t="shared" si="5"/>
        <v>0</v>
      </c>
      <c r="AX27">
        <f t="shared" si="13"/>
        <v>26</v>
      </c>
      <c r="AY27" s="154">
        <v>0</v>
      </c>
      <c r="AZ27" s="154">
        <f t="shared" si="6"/>
        <v>0</v>
      </c>
      <c r="BA27" s="155">
        <f t="shared" si="7"/>
        <v>0</v>
      </c>
      <c r="BB27" s="155">
        <f t="shared" si="8"/>
        <v>0</v>
      </c>
      <c r="BC27" s="155">
        <f t="shared" si="9"/>
        <v>0</v>
      </c>
      <c r="BD27" s="155">
        <f t="shared" si="10"/>
        <v>0</v>
      </c>
      <c r="BE27" s="236">
        <f t="shared" si="11"/>
        <v>0</v>
      </c>
      <c r="BF27">
        <f>X27*'Rate Class Customer Model'!O27</f>
        <v>0</v>
      </c>
      <c r="BG27" s="123">
        <f t="shared" si="12"/>
        <v>0</v>
      </c>
      <c r="BH27">
        <v>0</v>
      </c>
    </row>
    <row r="28" spans="1:60" x14ac:dyDescent="0.2">
      <c r="A28" s="3">
        <v>41334</v>
      </c>
      <c r="B28">
        <f t="shared" si="0"/>
        <v>2013</v>
      </c>
      <c r="C28">
        <f t="shared" si="1"/>
        <v>3</v>
      </c>
      <c r="D28" s="46">
        <f>Purchases!D88</f>
        <v>21583554.545454543</v>
      </c>
      <c r="E28" s="46">
        <f>Purchases!E88</f>
        <v>4664194.591599999</v>
      </c>
      <c r="F28" s="46">
        <f ca="1">CDM!D44</f>
        <v>156478.07453069682</v>
      </c>
      <c r="G28" s="46">
        <f t="shared" ca="1" si="2"/>
        <v>21740032.619985241</v>
      </c>
      <c r="H28" s="46">
        <f t="shared" si="3"/>
        <v>16919359.953854546</v>
      </c>
      <c r="I28" s="46">
        <f t="shared" ca="1" si="4"/>
        <v>17075838.028385244</v>
      </c>
      <c r="J28" s="46">
        <f>'Rate Class Customer Model'!V28</f>
        <v>14210.749999999998</v>
      </c>
      <c r="K28" s="109">
        <f>IF(C28=12,VLOOKUP(B28,'Rate Class Customer Model'!$A$32:$J$44,10,FALSE),(VLOOKUP(B28+1,'Rate Class Customer Model'!$A$32:$J$44,10,FALSE)-VLOOKUP(B28,'Rate Class Customer Model'!$A$32:$J$44,10,FALSE))/12+K27)</f>
        <v>11521.250000000002</v>
      </c>
      <c r="L28" s="152">
        <f>Economic!C28</f>
        <v>643937</v>
      </c>
      <c r="M28" s="152">
        <f>Economic!E28</f>
        <v>143.60435294003645</v>
      </c>
      <c r="N28" s="152">
        <f>Economic!F28</f>
        <v>6781.1</v>
      </c>
      <c r="O28" s="152">
        <f>Economic!G28</f>
        <v>6675.8</v>
      </c>
      <c r="P28" s="152">
        <f>Economic!H28</f>
        <v>152.4</v>
      </c>
      <c r="Q28" s="152">
        <f>Economic!I28</f>
        <v>149.4</v>
      </c>
      <c r="R28" s="149">
        <f>Weather!C148</f>
        <v>1.0903225806451615</v>
      </c>
      <c r="S28" s="150">
        <f>Weather!D148</f>
        <v>586.20000000000005</v>
      </c>
      <c r="T28" s="150">
        <f>Weather!E148</f>
        <v>0</v>
      </c>
      <c r="U28" s="150">
        <f>Weather!F148</f>
        <v>524.20000000000016</v>
      </c>
      <c r="V28" s="150">
        <f>Weather!G148</f>
        <v>0</v>
      </c>
      <c r="W28" s="150">
        <f>Weather!H148</f>
        <v>462.20000000000005</v>
      </c>
      <c r="X28" s="150">
        <f>Weather!I148</f>
        <v>0</v>
      </c>
      <c r="Y28" s="150">
        <f>Weather!J148</f>
        <v>400.20000000000005</v>
      </c>
      <c r="Z28" s="150">
        <f>Weather!K148</f>
        <v>0</v>
      </c>
      <c r="AA28" s="150">
        <f>Weather!L148</f>
        <v>338.20000000000005</v>
      </c>
      <c r="AB28" s="150">
        <f>Weather!M148</f>
        <v>0</v>
      </c>
      <c r="AC28" s="150">
        <f>Weather!N148</f>
        <v>276.2</v>
      </c>
      <c r="AD28" s="150">
        <f>Weather!O148</f>
        <v>0</v>
      </c>
      <c r="AE28" s="150">
        <f>Weather!P148</f>
        <v>217.3</v>
      </c>
      <c r="AF28" s="150">
        <f>Weather!Q148</f>
        <v>3.0999999999999996</v>
      </c>
      <c r="AG28" s="151">
        <f t="shared" si="16"/>
        <v>31</v>
      </c>
      <c r="AH28" s="151">
        <v>19</v>
      </c>
      <c r="AI28">
        <f t="shared" ref="AI28:AV28" si="29">AI16</f>
        <v>0</v>
      </c>
      <c r="AJ28">
        <f t="shared" si="29"/>
        <v>0</v>
      </c>
      <c r="AK28">
        <f t="shared" si="29"/>
        <v>1</v>
      </c>
      <c r="AL28">
        <f t="shared" si="29"/>
        <v>0</v>
      </c>
      <c r="AM28">
        <f t="shared" si="29"/>
        <v>0</v>
      </c>
      <c r="AN28">
        <f t="shared" si="29"/>
        <v>0</v>
      </c>
      <c r="AO28">
        <f t="shared" si="29"/>
        <v>0</v>
      </c>
      <c r="AP28">
        <f t="shared" si="29"/>
        <v>0</v>
      </c>
      <c r="AQ28">
        <f t="shared" si="29"/>
        <v>0</v>
      </c>
      <c r="AR28">
        <f t="shared" si="29"/>
        <v>0</v>
      </c>
      <c r="AS28">
        <f t="shared" si="29"/>
        <v>0</v>
      </c>
      <c r="AT28">
        <f t="shared" si="29"/>
        <v>0</v>
      </c>
      <c r="AU28">
        <f t="shared" si="29"/>
        <v>1</v>
      </c>
      <c r="AV28">
        <f t="shared" si="29"/>
        <v>0</v>
      </c>
      <c r="AW28">
        <f t="shared" si="5"/>
        <v>1</v>
      </c>
      <c r="AX28">
        <f t="shared" si="13"/>
        <v>27</v>
      </c>
      <c r="AY28" s="154">
        <v>0</v>
      </c>
      <c r="AZ28" s="154">
        <f t="shared" si="6"/>
        <v>0</v>
      </c>
      <c r="BA28" s="155">
        <f t="shared" si="7"/>
        <v>0</v>
      </c>
      <c r="BB28" s="155">
        <f t="shared" si="8"/>
        <v>0</v>
      </c>
      <c r="BC28" s="155">
        <f t="shared" si="9"/>
        <v>0</v>
      </c>
      <c r="BD28" s="155">
        <f t="shared" si="10"/>
        <v>0</v>
      </c>
      <c r="BE28" s="236">
        <f t="shared" si="11"/>
        <v>0</v>
      </c>
      <c r="BF28">
        <f>X28*'Rate Class Customer Model'!O28</f>
        <v>0</v>
      </c>
      <c r="BG28" s="123">
        <f t="shared" si="12"/>
        <v>0</v>
      </c>
      <c r="BH28">
        <v>0</v>
      </c>
    </row>
    <row r="29" spans="1:60" x14ac:dyDescent="0.2">
      <c r="A29" s="3">
        <v>41365</v>
      </c>
      <c r="B29">
        <f t="shared" si="0"/>
        <v>2013</v>
      </c>
      <c r="C29">
        <f t="shared" si="1"/>
        <v>4</v>
      </c>
      <c r="D29" s="46">
        <f>Purchases!D89</f>
        <v>19125345.454545453</v>
      </c>
      <c r="E29" s="46">
        <f>Purchases!E89</f>
        <v>4705233.0269999998</v>
      </c>
      <c r="F29" s="46">
        <f ca="1">CDM!D45</f>
        <v>160645.68852453883</v>
      </c>
      <c r="G29" s="46">
        <f t="shared" ca="1" si="2"/>
        <v>19285991.143069994</v>
      </c>
      <c r="H29" s="46">
        <f t="shared" si="3"/>
        <v>14420112.427545454</v>
      </c>
      <c r="I29" s="46">
        <f t="shared" ca="1" si="4"/>
        <v>14580758.116069995</v>
      </c>
      <c r="J29" s="46">
        <f>'Rate Class Customer Model'!V29</f>
        <v>14216.666666666664</v>
      </c>
      <c r="K29" s="109">
        <f>IF(C29=12,VLOOKUP(B29,'Rate Class Customer Model'!$A$32:$J$44,10,FALSE),(VLOOKUP(B29+1,'Rate Class Customer Model'!$A$32:$J$44,10,FALSE)-VLOOKUP(B29,'Rate Class Customer Model'!$A$32:$J$44,10,FALSE))/12+K28)</f>
        <v>11529.333333333336</v>
      </c>
      <c r="L29" s="152">
        <f>Economic!C29</f>
        <v>643937</v>
      </c>
      <c r="M29" s="152">
        <f>Economic!E29</f>
        <v>143.7732436749597</v>
      </c>
      <c r="N29" s="152">
        <f>Economic!F29</f>
        <v>6788.9</v>
      </c>
      <c r="O29" s="152">
        <f>Economic!G29</f>
        <v>6703.7</v>
      </c>
      <c r="P29" s="152">
        <f>Economic!H29</f>
        <v>154.4</v>
      </c>
      <c r="Q29" s="152">
        <f>Economic!I29</f>
        <v>152.6</v>
      </c>
      <c r="R29" s="149">
        <f>Weather!C149</f>
        <v>7.39</v>
      </c>
      <c r="S29" s="150">
        <f>Weather!D149</f>
        <v>378.29999999999995</v>
      </c>
      <c r="T29" s="150">
        <f>Weather!E149</f>
        <v>0</v>
      </c>
      <c r="U29" s="150">
        <f>Weather!F149</f>
        <v>318.29999999999995</v>
      </c>
      <c r="V29" s="150">
        <f>Weather!G149</f>
        <v>0</v>
      </c>
      <c r="W29" s="150">
        <f>Weather!H149</f>
        <v>259.09999999999997</v>
      </c>
      <c r="X29" s="150">
        <f>Weather!I149</f>
        <v>0.80000000000000071</v>
      </c>
      <c r="Y29" s="150">
        <f>Weather!J149</f>
        <v>204.59999999999994</v>
      </c>
      <c r="Z29" s="150">
        <f>Weather!K149</f>
        <v>6.3000000000000007</v>
      </c>
      <c r="AA29" s="150">
        <f>Weather!L149</f>
        <v>151.79999999999998</v>
      </c>
      <c r="AB29" s="150">
        <f>Weather!M149</f>
        <v>13.5</v>
      </c>
      <c r="AC29" s="150">
        <f>Weather!N149</f>
        <v>105.1</v>
      </c>
      <c r="AD29" s="150">
        <f>Weather!O149</f>
        <v>26.8</v>
      </c>
      <c r="AE29" s="150">
        <f>Weather!P149</f>
        <v>66.900000000000006</v>
      </c>
      <c r="AF29" s="150">
        <f>Weather!Q149</f>
        <v>48.600000000000009</v>
      </c>
      <c r="AG29" s="151">
        <f t="shared" si="16"/>
        <v>30</v>
      </c>
      <c r="AH29" s="151">
        <v>22</v>
      </c>
      <c r="AI29">
        <f t="shared" ref="AI29:AV29" si="30">AI17</f>
        <v>0</v>
      </c>
      <c r="AJ29">
        <f t="shared" si="30"/>
        <v>0</v>
      </c>
      <c r="AK29">
        <f t="shared" si="30"/>
        <v>0</v>
      </c>
      <c r="AL29">
        <f t="shared" si="30"/>
        <v>1</v>
      </c>
      <c r="AM29">
        <f t="shared" si="30"/>
        <v>0</v>
      </c>
      <c r="AN29">
        <f t="shared" si="30"/>
        <v>0</v>
      </c>
      <c r="AO29">
        <f t="shared" si="30"/>
        <v>0</v>
      </c>
      <c r="AP29">
        <f t="shared" si="30"/>
        <v>0</v>
      </c>
      <c r="AQ29">
        <f t="shared" si="30"/>
        <v>0</v>
      </c>
      <c r="AR29">
        <f t="shared" si="30"/>
        <v>0</v>
      </c>
      <c r="AS29">
        <f t="shared" si="30"/>
        <v>0</v>
      </c>
      <c r="AT29">
        <f t="shared" si="30"/>
        <v>0</v>
      </c>
      <c r="AU29">
        <f t="shared" si="30"/>
        <v>1</v>
      </c>
      <c r="AV29">
        <f t="shared" si="30"/>
        <v>0</v>
      </c>
      <c r="AW29">
        <f t="shared" si="5"/>
        <v>1</v>
      </c>
      <c r="AX29">
        <f t="shared" si="13"/>
        <v>28</v>
      </c>
      <c r="AY29" s="154">
        <v>0</v>
      </c>
      <c r="AZ29" s="154">
        <f t="shared" si="6"/>
        <v>0</v>
      </c>
      <c r="BA29" s="155">
        <f t="shared" si="7"/>
        <v>0</v>
      </c>
      <c r="BB29" s="155">
        <f t="shared" si="8"/>
        <v>0</v>
      </c>
      <c r="BC29" s="155">
        <f t="shared" si="9"/>
        <v>0</v>
      </c>
      <c r="BD29" s="155">
        <f t="shared" si="10"/>
        <v>0</v>
      </c>
      <c r="BE29" s="236">
        <f t="shared" si="11"/>
        <v>0.64000000000000112</v>
      </c>
      <c r="BF29">
        <f>X29*'Rate Class Customer Model'!O29</f>
        <v>8057.6000000000067</v>
      </c>
      <c r="BG29" s="123">
        <f t="shared" si="12"/>
        <v>9223.4666666666762</v>
      </c>
      <c r="BH29">
        <v>0</v>
      </c>
    </row>
    <row r="30" spans="1:60" x14ac:dyDescent="0.2">
      <c r="A30" s="3">
        <v>41395</v>
      </c>
      <c r="B30">
        <f t="shared" si="0"/>
        <v>2013</v>
      </c>
      <c r="C30">
        <f t="shared" si="1"/>
        <v>5</v>
      </c>
      <c r="D30" s="46">
        <f>Purchases!D90</f>
        <v>17617625.000000004</v>
      </c>
      <c r="E30" s="46">
        <f>Purchases!E90</f>
        <v>3915508.8012999999</v>
      </c>
      <c r="F30" s="46">
        <f ca="1">CDM!D46</f>
        <v>164813.30251838083</v>
      </c>
      <c r="G30" s="46">
        <f t="shared" ca="1" si="2"/>
        <v>17782438.302518386</v>
      </c>
      <c r="H30" s="46">
        <f t="shared" si="3"/>
        <v>13702116.198700003</v>
      </c>
      <c r="I30" s="46">
        <f t="shared" ca="1" si="4"/>
        <v>13866929.501218386</v>
      </c>
      <c r="J30" s="46">
        <f>'Rate Class Customer Model'!V30</f>
        <v>14222.58333333333</v>
      </c>
      <c r="K30" s="109">
        <f>IF(C30=12,VLOOKUP(B30,'Rate Class Customer Model'!$A$32:$J$44,10,FALSE),(VLOOKUP(B30+1,'Rate Class Customer Model'!$A$32:$J$44,10,FALSE)-VLOOKUP(B30,'Rate Class Customer Model'!$A$32:$J$44,10,FALSE))/12+K29)</f>
        <v>11537.41666666667</v>
      </c>
      <c r="L30" s="152">
        <f>Economic!C30</f>
        <v>643937</v>
      </c>
      <c r="M30" s="152">
        <f>Economic!E30</f>
        <v>143.94213440988295</v>
      </c>
      <c r="N30" s="152">
        <f>Economic!F30</f>
        <v>6801.1</v>
      </c>
      <c r="O30" s="152">
        <f>Economic!G30</f>
        <v>6770.3</v>
      </c>
      <c r="P30" s="152">
        <f>Economic!H30</f>
        <v>155.30000000000001</v>
      </c>
      <c r="Q30" s="152">
        <f>Economic!I30</f>
        <v>154</v>
      </c>
      <c r="R30" s="149">
        <f>Weather!C150</f>
        <v>16.964516129032255</v>
      </c>
      <c r="S30" s="150">
        <f>Weather!D150</f>
        <v>122.69999999999999</v>
      </c>
      <c r="T30" s="150">
        <f>Weather!E150</f>
        <v>28.599999999999998</v>
      </c>
      <c r="U30" s="150">
        <f>Weather!F150</f>
        <v>83.3</v>
      </c>
      <c r="V30" s="150">
        <f>Weather!G150</f>
        <v>51.2</v>
      </c>
      <c r="W30" s="150">
        <f>Weather!H150</f>
        <v>54.8</v>
      </c>
      <c r="X30" s="150">
        <f>Weather!I150</f>
        <v>84.7</v>
      </c>
      <c r="Y30" s="150">
        <f>Weather!J150</f>
        <v>34.1</v>
      </c>
      <c r="Z30" s="150">
        <f>Weather!K150</f>
        <v>126</v>
      </c>
      <c r="AA30" s="150">
        <f>Weather!L150</f>
        <v>19.100000000000001</v>
      </c>
      <c r="AB30" s="150">
        <f>Weather!M150</f>
        <v>173</v>
      </c>
      <c r="AC30" s="150">
        <f>Weather!N150</f>
        <v>9.1000000000000014</v>
      </c>
      <c r="AD30" s="150">
        <f>Weather!O150</f>
        <v>225</v>
      </c>
      <c r="AE30" s="150">
        <f>Weather!P150</f>
        <v>3</v>
      </c>
      <c r="AF30" s="150">
        <f>Weather!Q150</f>
        <v>280.89999999999998</v>
      </c>
      <c r="AG30" s="151">
        <f t="shared" si="16"/>
        <v>31</v>
      </c>
      <c r="AH30" s="151">
        <v>22</v>
      </c>
      <c r="AI30">
        <f t="shared" ref="AI30:AV30" si="31">AI18</f>
        <v>0</v>
      </c>
      <c r="AJ30">
        <f t="shared" si="31"/>
        <v>0</v>
      </c>
      <c r="AK30">
        <f t="shared" si="31"/>
        <v>0</v>
      </c>
      <c r="AL30">
        <f t="shared" si="31"/>
        <v>0</v>
      </c>
      <c r="AM30">
        <f t="shared" si="31"/>
        <v>1</v>
      </c>
      <c r="AN30">
        <f t="shared" si="31"/>
        <v>0</v>
      </c>
      <c r="AO30">
        <f t="shared" si="31"/>
        <v>0</v>
      </c>
      <c r="AP30">
        <f t="shared" si="31"/>
        <v>0</v>
      </c>
      <c r="AQ30">
        <f t="shared" si="31"/>
        <v>0</v>
      </c>
      <c r="AR30">
        <f t="shared" si="31"/>
        <v>0</v>
      </c>
      <c r="AS30">
        <f t="shared" si="31"/>
        <v>0</v>
      </c>
      <c r="AT30">
        <f t="shared" si="31"/>
        <v>0</v>
      </c>
      <c r="AU30">
        <f t="shared" si="31"/>
        <v>1</v>
      </c>
      <c r="AV30">
        <f t="shared" si="31"/>
        <v>0</v>
      </c>
      <c r="AW30">
        <f t="shared" si="5"/>
        <v>1</v>
      </c>
      <c r="AX30">
        <f t="shared" si="13"/>
        <v>29</v>
      </c>
      <c r="AY30" s="154">
        <v>0</v>
      </c>
      <c r="AZ30" s="154">
        <f t="shared" si="6"/>
        <v>0</v>
      </c>
      <c r="BA30" s="155">
        <f t="shared" si="7"/>
        <v>0</v>
      </c>
      <c r="BB30" s="155">
        <f t="shared" si="8"/>
        <v>0</v>
      </c>
      <c r="BC30" s="155">
        <f t="shared" si="9"/>
        <v>0</v>
      </c>
      <c r="BD30" s="155">
        <f t="shared" si="10"/>
        <v>0</v>
      </c>
      <c r="BE30" s="236">
        <f t="shared" si="11"/>
        <v>7174.09</v>
      </c>
      <c r="BF30">
        <f>X30*'Rate Class Customer Model'!O30</f>
        <v>853543.07500000007</v>
      </c>
      <c r="BG30" s="123">
        <f t="shared" si="12"/>
        <v>977219.191666667</v>
      </c>
      <c r="BH30">
        <v>0</v>
      </c>
    </row>
    <row r="31" spans="1:60" x14ac:dyDescent="0.2">
      <c r="A31" s="3">
        <v>41426</v>
      </c>
      <c r="B31">
        <f t="shared" si="0"/>
        <v>2013</v>
      </c>
      <c r="C31">
        <f t="shared" si="1"/>
        <v>6</v>
      </c>
      <c r="D31" s="46">
        <f>Purchases!D91</f>
        <v>19936866.666666668</v>
      </c>
      <c r="E31" s="46">
        <f>Purchases!E91</f>
        <v>3645317.7157999999</v>
      </c>
      <c r="F31" s="46">
        <f ca="1">CDM!D47</f>
        <v>168980.91651222284</v>
      </c>
      <c r="G31" s="46">
        <f t="shared" ca="1" si="2"/>
        <v>20105847.583178889</v>
      </c>
      <c r="H31" s="46">
        <f t="shared" si="3"/>
        <v>16291548.950866668</v>
      </c>
      <c r="I31" s="46">
        <f t="shared" ca="1" si="4"/>
        <v>16460529.867378889</v>
      </c>
      <c r="J31" s="46">
        <f>'Rate Class Customer Model'!V31</f>
        <v>14228.499999999996</v>
      </c>
      <c r="K31" s="109">
        <f>IF(C31=12,VLOOKUP(B31,'Rate Class Customer Model'!$A$32:$J$44,10,FALSE),(VLOOKUP(B31+1,'Rate Class Customer Model'!$A$32:$J$44,10,FALSE)-VLOOKUP(B31,'Rate Class Customer Model'!$A$32:$J$44,10,FALSE))/12+K30)</f>
        <v>11545.500000000004</v>
      </c>
      <c r="L31" s="152">
        <f>Economic!C31</f>
        <v>643937</v>
      </c>
      <c r="M31" s="152">
        <f>Economic!E31</f>
        <v>144.11102514480621</v>
      </c>
      <c r="N31" s="152">
        <f>Economic!F31</f>
        <v>6815.2</v>
      </c>
      <c r="O31" s="152">
        <f>Economic!G31</f>
        <v>6861.8</v>
      </c>
      <c r="P31" s="152">
        <f>Economic!H31</f>
        <v>156.1</v>
      </c>
      <c r="Q31" s="152">
        <f>Economic!I31</f>
        <v>155.9</v>
      </c>
      <c r="R31" s="149">
        <f>Weather!C151</f>
        <v>20.25</v>
      </c>
      <c r="S31" s="150">
        <f>Weather!D151</f>
        <v>41.6</v>
      </c>
      <c r="T31" s="150">
        <f>Weather!E151</f>
        <v>49.099999999999994</v>
      </c>
      <c r="U31" s="150">
        <f>Weather!F151</f>
        <v>18.200000000000003</v>
      </c>
      <c r="V31" s="150">
        <f>Weather!G151</f>
        <v>85.700000000000017</v>
      </c>
      <c r="W31" s="150">
        <f>Weather!H151</f>
        <v>6</v>
      </c>
      <c r="X31" s="150">
        <f>Weather!I151</f>
        <v>133.49999999999997</v>
      </c>
      <c r="Y31" s="150">
        <f>Weather!J151</f>
        <v>0.40000000000000036</v>
      </c>
      <c r="Z31" s="150">
        <f>Weather!K151</f>
        <v>187.9</v>
      </c>
      <c r="AA31" s="150">
        <f>Weather!L151</f>
        <v>0</v>
      </c>
      <c r="AB31" s="150">
        <f>Weather!M151</f>
        <v>247.50000000000003</v>
      </c>
      <c r="AC31" s="150">
        <f>Weather!N151</f>
        <v>0</v>
      </c>
      <c r="AD31" s="150">
        <f>Weather!O151</f>
        <v>307.50000000000006</v>
      </c>
      <c r="AE31" s="150">
        <f>Weather!P151</f>
        <v>0</v>
      </c>
      <c r="AF31" s="150">
        <f>Weather!Q151</f>
        <v>367.50000000000011</v>
      </c>
      <c r="AG31" s="151">
        <f t="shared" si="16"/>
        <v>30</v>
      </c>
      <c r="AH31" s="151">
        <v>20</v>
      </c>
      <c r="AI31">
        <f t="shared" ref="AI31:AV31" si="32">AI19</f>
        <v>0</v>
      </c>
      <c r="AJ31">
        <f t="shared" si="32"/>
        <v>0</v>
      </c>
      <c r="AK31">
        <f t="shared" si="32"/>
        <v>0</v>
      </c>
      <c r="AL31">
        <f t="shared" si="32"/>
        <v>0</v>
      </c>
      <c r="AM31">
        <f t="shared" si="32"/>
        <v>0</v>
      </c>
      <c r="AN31">
        <f t="shared" si="32"/>
        <v>1</v>
      </c>
      <c r="AO31">
        <f t="shared" si="32"/>
        <v>0</v>
      </c>
      <c r="AP31">
        <f t="shared" si="32"/>
        <v>0</v>
      </c>
      <c r="AQ31">
        <f t="shared" si="32"/>
        <v>0</v>
      </c>
      <c r="AR31">
        <f t="shared" si="32"/>
        <v>0</v>
      </c>
      <c r="AS31">
        <f t="shared" si="32"/>
        <v>0</v>
      </c>
      <c r="AT31">
        <f t="shared" si="32"/>
        <v>0</v>
      </c>
      <c r="AU31">
        <f t="shared" si="32"/>
        <v>0</v>
      </c>
      <c r="AV31">
        <f t="shared" si="32"/>
        <v>0</v>
      </c>
      <c r="AW31">
        <f t="shared" si="5"/>
        <v>0</v>
      </c>
      <c r="AX31">
        <f t="shared" si="13"/>
        <v>30</v>
      </c>
      <c r="AY31" s="154">
        <v>0</v>
      </c>
      <c r="AZ31" s="154">
        <f t="shared" si="6"/>
        <v>0</v>
      </c>
      <c r="BA31" s="155">
        <f t="shared" si="7"/>
        <v>0</v>
      </c>
      <c r="BB31" s="155">
        <f t="shared" si="8"/>
        <v>0</v>
      </c>
      <c r="BC31" s="155">
        <f t="shared" si="9"/>
        <v>0</v>
      </c>
      <c r="BD31" s="155">
        <f t="shared" si="10"/>
        <v>0</v>
      </c>
      <c r="BE31" s="236">
        <f t="shared" si="11"/>
        <v>17822.249999999993</v>
      </c>
      <c r="BF31">
        <f>X31*'Rate Class Customer Model'!O31</f>
        <v>1346013.7499999998</v>
      </c>
      <c r="BG31" s="123">
        <f t="shared" si="12"/>
        <v>1541324.2500000002</v>
      </c>
      <c r="BH31">
        <v>0</v>
      </c>
    </row>
    <row r="32" spans="1:60" x14ac:dyDescent="0.2">
      <c r="A32" s="3">
        <v>41456</v>
      </c>
      <c r="B32">
        <f t="shared" si="0"/>
        <v>2013</v>
      </c>
      <c r="C32">
        <f t="shared" si="1"/>
        <v>7</v>
      </c>
      <c r="D32" s="46">
        <f>Purchases!D92</f>
        <v>23686275</v>
      </c>
      <c r="E32" s="46">
        <f>Purchases!E92</f>
        <v>4244297.978099999</v>
      </c>
      <c r="F32" s="46">
        <f ca="1">CDM!D48</f>
        <v>173148.53050606482</v>
      </c>
      <c r="G32" s="46">
        <f t="shared" ca="1" si="2"/>
        <v>23859423.530506063</v>
      </c>
      <c r="H32" s="46">
        <f t="shared" si="3"/>
        <v>19441977.021900002</v>
      </c>
      <c r="I32" s="46">
        <f t="shared" ca="1" si="4"/>
        <v>19615125.552406065</v>
      </c>
      <c r="J32" s="46">
        <f>'Rate Class Customer Model'!V32</f>
        <v>14234.416666666662</v>
      </c>
      <c r="K32" s="109">
        <f>IF(C32=12,VLOOKUP(B32,'Rate Class Customer Model'!$A$32:$J$44,10,FALSE),(VLOOKUP(B32+1,'Rate Class Customer Model'!$A$32:$J$44,10,FALSE)-VLOOKUP(B32,'Rate Class Customer Model'!$A$32:$J$44,10,FALSE))/12+K31)</f>
        <v>11553.583333333338</v>
      </c>
      <c r="L32" s="152">
        <f>Economic!C32</f>
        <v>643937</v>
      </c>
      <c r="M32" s="152">
        <f>Economic!E32</f>
        <v>144.27991587972946</v>
      </c>
      <c r="N32" s="152">
        <f>Economic!F32</f>
        <v>6826.2</v>
      </c>
      <c r="O32" s="152">
        <f>Economic!G32</f>
        <v>6917.1</v>
      </c>
      <c r="P32" s="152">
        <f>Economic!H32</f>
        <v>156</v>
      </c>
      <c r="Q32" s="152">
        <f>Economic!I32</f>
        <v>156.6</v>
      </c>
      <c r="R32" s="149">
        <f>Weather!C152</f>
        <v>22.716129032258067</v>
      </c>
      <c r="S32" s="150">
        <f>Weather!D152</f>
        <v>14</v>
      </c>
      <c r="T32" s="150">
        <f>Weather!E152</f>
        <v>98.200000000000017</v>
      </c>
      <c r="U32" s="150">
        <f>Weather!F152</f>
        <v>2.6000000000000014</v>
      </c>
      <c r="V32" s="150">
        <f>Weather!G152</f>
        <v>148.79999999999995</v>
      </c>
      <c r="W32" s="150">
        <f>Weather!H152</f>
        <v>0</v>
      </c>
      <c r="X32" s="150">
        <f>Weather!I152</f>
        <v>208.19999999999993</v>
      </c>
      <c r="Y32" s="150">
        <f>Weather!J152</f>
        <v>0</v>
      </c>
      <c r="Z32" s="150">
        <f>Weather!K152</f>
        <v>270.2</v>
      </c>
      <c r="AA32" s="150">
        <f>Weather!L152</f>
        <v>0</v>
      </c>
      <c r="AB32" s="150">
        <f>Weather!M152</f>
        <v>332.20000000000005</v>
      </c>
      <c r="AC32" s="150">
        <f>Weather!N152</f>
        <v>0</v>
      </c>
      <c r="AD32" s="150">
        <f>Weather!O152</f>
        <v>394.2</v>
      </c>
      <c r="AE32" s="150">
        <f>Weather!P152</f>
        <v>0</v>
      </c>
      <c r="AF32" s="150">
        <f>Weather!Q152</f>
        <v>456.2</v>
      </c>
      <c r="AG32" s="151">
        <f t="shared" si="16"/>
        <v>31</v>
      </c>
      <c r="AH32" s="151">
        <v>22</v>
      </c>
      <c r="AI32">
        <f t="shared" ref="AI32:AV32" si="33">AI20</f>
        <v>0</v>
      </c>
      <c r="AJ32">
        <f t="shared" si="33"/>
        <v>0</v>
      </c>
      <c r="AK32">
        <f t="shared" si="33"/>
        <v>0</v>
      </c>
      <c r="AL32">
        <f t="shared" si="33"/>
        <v>0</v>
      </c>
      <c r="AM32">
        <f t="shared" si="33"/>
        <v>0</v>
      </c>
      <c r="AN32">
        <f t="shared" si="33"/>
        <v>0</v>
      </c>
      <c r="AO32">
        <f t="shared" si="33"/>
        <v>1</v>
      </c>
      <c r="AP32">
        <f t="shared" si="33"/>
        <v>0</v>
      </c>
      <c r="AQ32">
        <f t="shared" si="33"/>
        <v>0</v>
      </c>
      <c r="AR32">
        <f t="shared" si="33"/>
        <v>0</v>
      </c>
      <c r="AS32">
        <f t="shared" si="33"/>
        <v>0</v>
      </c>
      <c r="AT32">
        <f t="shared" si="33"/>
        <v>0</v>
      </c>
      <c r="AU32">
        <f t="shared" si="33"/>
        <v>0</v>
      </c>
      <c r="AV32">
        <f t="shared" si="33"/>
        <v>0</v>
      </c>
      <c r="AW32">
        <f t="shared" si="5"/>
        <v>0</v>
      </c>
      <c r="AX32">
        <f t="shared" si="13"/>
        <v>31</v>
      </c>
      <c r="AY32" s="154">
        <v>0</v>
      </c>
      <c r="AZ32" s="154">
        <f t="shared" si="6"/>
        <v>0</v>
      </c>
      <c r="BA32" s="155">
        <f t="shared" si="7"/>
        <v>0</v>
      </c>
      <c r="BB32" s="155">
        <f t="shared" si="8"/>
        <v>0</v>
      </c>
      <c r="BC32" s="155">
        <f t="shared" si="9"/>
        <v>0</v>
      </c>
      <c r="BD32" s="155">
        <f t="shared" si="10"/>
        <v>0</v>
      </c>
      <c r="BE32" s="236">
        <f t="shared" si="11"/>
        <v>43347.239999999969</v>
      </c>
      <c r="BF32">
        <f>X32*'Rate Class Customer Model'!O32</f>
        <v>2100269.5499999993</v>
      </c>
      <c r="BG32" s="123">
        <f t="shared" si="12"/>
        <v>2405456.0500000003</v>
      </c>
      <c r="BH32">
        <v>0</v>
      </c>
    </row>
    <row r="33" spans="1:60" x14ac:dyDescent="0.2">
      <c r="A33" s="3">
        <v>41487</v>
      </c>
      <c r="B33">
        <f t="shared" si="0"/>
        <v>2013</v>
      </c>
      <c r="C33">
        <f t="shared" si="1"/>
        <v>8</v>
      </c>
      <c r="D33" s="46">
        <f>Purchases!D93</f>
        <v>22403900.000000004</v>
      </c>
      <c r="E33" s="46">
        <f>Purchases!E93</f>
        <v>5299604.6619999995</v>
      </c>
      <c r="F33" s="46">
        <f ca="1">CDM!D49</f>
        <v>177316.14449990683</v>
      </c>
      <c r="G33" s="46">
        <f t="shared" ca="1" si="2"/>
        <v>22581216.144499909</v>
      </c>
      <c r="H33" s="46">
        <f t="shared" si="3"/>
        <v>17104295.338000003</v>
      </c>
      <c r="I33" s="46">
        <f t="shared" ca="1" si="4"/>
        <v>17281611.482499909</v>
      </c>
      <c r="J33" s="46">
        <f>'Rate Class Customer Model'!V33</f>
        <v>14240.333333333328</v>
      </c>
      <c r="K33" s="109">
        <f>IF(C33=12,VLOOKUP(B33,'Rate Class Customer Model'!$A$32:$J$44,10,FALSE),(VLOOKUP(B33+1,'Rate Class Customer Model'!$A$32:$J$44,10,FALSE)-VLOOKUP(B33,'Rate Class Customer Model'!$A$32:$J$44,10,FALSE))/12+K32)</f>
        <v>11561.666666666672</v>
      </c>
      <c r="L33" s="152">
        <f>Economic!C33</f>
        <v>643937</v>
      </c>
      <c r="M33" s="152">
        <f>Economic!E33</f>
        <v>144.44880661465271</v>
      </c>
      <c r="N33" s="152">
        <f>Economic!F33</f>
        <v>6833.9</v>
      </c>
      <c r="O33" s="152">
        <f>Economic!G33</f>
        <v>6934.7</v>
      </c>
      <c r="P33" s="152">
        <f>Economic!H33</f>
        <v>155.80000000000001</v>
      </c>
      <c r="Q33" s="152">
        <f>Economic!I33</f>
        <v>156.5</v>
      </c>
      <c r="R33" s="149">
        <f>Weather!C153</f>
        <v>21.593548387096774</v>
      </c>
      <c r="S33" s="150">
        <f>Weather!D153</f>
        <v>14.700000000000003</v>
      </c>
      <c r="T33" s="150">
        <f>Weather!E153</f>
        <v>64.100000000000009</v>
      </c>
      <c r="U33" s="150">
        <f>Weather!F153</f>
        <v>3.9000000000000021</v>
      </c>
      <c r="V33" s="150">
        <f>Weather!G153</f>
        <v>115.29999999999998</v>
      </c>
      <c r="W33" s="150">
        <f>Weather!H153</f>
        <v>0</v>
      </c>
      <c r="X33" s="150">
        <f>Weather!I153</f>
        <v>173.40000000000003</v>
      </c>
      <c r="Y33" s="150">
        <f>Weather!J153</f>
        <v>0</v>
      </c>
      <c r="Z33" s="150">
        <f>Weather!K153</f>
        <v>235.4</v>
      </c>
      <c r="AA33" s="150">
        <f>Weather!L153</f>
        <v>0</v>
      </c>
      <c r="AB33" s="150">
        <f>Weather!M153</f>
        <v>297.40000000000003</v>
      </c>
      <c r="AC33" s="150">
        <f>Weather!N153</f>
        <v>0</v>
      </c>
      <c r="AD33" s="150">
        <f>Weather!O153</f>
        <v>359.40000000000003</v>
      </c>
      <c r="AE33" s="150">
        <f>Weather!P153</f>
        <v>0</v>
      </c>
      <c r="AF33" s="150">
        <f>Weather!Q153</f>
        <v>421.40000000000003</v>
      </c>
      <c r="AG33" s="151">
        <f t="shared" si="16"/>
        <v>31</v>
      </c>
      <c r="AH33" s="151">
        <v>21</v>
      </c>
      <c r="AI33">
        <f t="shared" ref="AI33:AV33" si="34">AI21</f>
        <v>0</v>
      </c>
      <c r="AJ33">
        <f t="shared" si="34"/>
        <v>0</v>
      </c>
      <c r="AK33">
        <f t="shared" si="34"/>
        <v>0</v>
      </c>
      <c r="AL33">
        <f t="shared" si="34"/>
        <v>0</v>
      </c>
      <c r="AM33">
        <f t="shared" si="34"/>
        <v>0</v>
      </c>
      <c r="AN33">
        <f t="shared" si="34"/>
        <v>0</v>
      </c>
      <c r="AO33">
        <f t="shared" si="34"/>
        <v>0</v>
      </c>
      <c r="AP33">
        <f t="shared" si="34"/>
        <v>1</v>
      </c>
      <c r="AQ33">
        <f t="shared" si="34"/>
        <v>0</v>
      </c>
      <c r="AR33">
        <f t="shared" si="34"/>
        <v>0</v>
      </c>
      <c r="AS33">
        <f t="shared" si="34"/>
        <v>0</v>
      </c>
      <c r="AT33">
        <f t="shared" si="34"/>
        <v>0</v>
      </c>
      <c r="AU33">
        <f t="shared" si="34"/>
        <v>0</v>
      </c>
      <c r="AV33">
        <f t="shared" si="34"/>
        <v>0</v>
      </c>
      <c r="AW33">
        <f t="shared" si="5"/>
        <v>0</v>
      </c>
      <c r="AX33">
        <f t="shared" si="13"/>
        <v>32</v>
      </c>
      <c r="AY33" s="154">
        <v>0</v>
      </c>
      <c r="AZ33" s="154">
        <f t="shared" si="6"/>
        <v>0</v>
      </c>
      <c r="BA33" s="155">
        <f t="shared" si="7"/>
        <v>0</v>
      </c>
      <c r="BB33" s="155">
        <f t="shared" si="8"/>
        <v>0</v>
      </c>
      <c r="BC33" s="155">
        <f t="shared" si="9"/>
        <v>0</v>
      </c>
      <c r="BD33" s="155">
        <f t="shared" si="10"/>
        <v>0</v>
      </c>
      <c r="BE33" s="236">
        <f t="shared" si="11"/>
        <v>30067.560000000012</v>
      </c>
      <c r="BF33">
        <f>X33*'Rate Class Customer Model'!O33</f>
        <v>1750126.2000000004</v>
      </c>
      <c r="BG33" s="123">
        <f t="shared" si="12"/>
        <v>2004793.0000000012</v>
      </c>
      <c r="BH33">
        <v>0</v>
      </c>
    </row>
    <row r="34" spans="1:60" x14ac:dyDescent="0.2">
      <c r="A34" s="3">
        <v>41518</v>
      </c>
      <c r="B34">
        <f t="shared" si="0"/>
        <v>2013</v>
      </c>
      <c r="C34">
        <f t="shared" si="1"/>
        <v>9</v>
      </c>
      <c r="D34" s="46">
        <f>Purchases!D94</f>
        <v>18880325</v>
      </c>
      <c r="E34" s="46">
        <f>Purchases!E94</f>
        <v>4825504.0060000001</v>
      </c>
      <c r="F34" s="46">
        <f ca="1">CDM!D50</f>
        <v>181483.75849374884</v>
      </c>
      <c r="G34" s="46">
        <f t="shared" ca="1" si="2"/>
        <v>19061808.758493748</v>
      </c>
      <c r="H34" s="46">
        <f t="shared" si="3"/>
        <v>14054820.993999999</v>
      </c>
      <c r="I34" s="46">
        <f t="shared" ca="1" si="4"/>
        <v>14236304.752493747</v>
      </c>
      <c r="J34" s="46">
        <f>'Rate Class Customer Model'!V34</f>
        <v>14246.249999999995</v>
      </c>
      <c r="K34" s="109">
        <f>IF(C34=12,VLOOKUP(B34,'Rate Class Customer Model'!$A$32:$J$44,10,FALSE),(VLOOKUP(B34+1,'Rate Class Customer Model'!$A$32:$J$44,10,FALSE)-VLOOKUP(B34,'Rate Class Customer Model'!$A$32:$J$44,10,FALSE))/12+K33)</f>
        <v>11569.750000000005</v>
      </c>
      <c r="L34" s="152">
        <f>Economic!C34</f>
        <v>643937</v>
      </c>
      <c r="M34" s="152">
        <f>Economic!E34</f>
        <v>144.61769734957596</v>
      </c>
      <c r="N34" s="152">
        <f>Economic!F34</f>
        <v>6843.3</v>
      </c>
      <c r="O34" s="152">
        <f>Economic!G34</f>
        <v>6906.9</v>
      </c>
      <c r="P34" s="152">
        <f>Economic!H34</f>
        <v>154</v>
      </c>
      <c r="Q34" s="152">
        <f>Economic!I34</f>
        <v>154.6</v>
      </c>
      <c r="R34" s="149">
        <f>Weather!C154</f>
        <v>17.74666666666667</v>
      </c>
      <c r="S34" s="150">
        <f>Weather!D154</f>
        <v>93.899999999999991</v>
      </c>
      <c r="T34" s="150">
        <f>Weather!E154</f>
        <v>26.299999999999997</v>
      </c>
      <c r="U34" s="150">
        <f>Weather!F154</f>
        <v>53.7</v>
      </c>
      <c r="V34" s="150">
        <f>Weather!G154</f>
        <v>46.099999999999994</v>
      </c>
      <c r="W34" s="150">
        <f>Weather!H154</f>
        <v>25.700000000000003</v>
      </c>
      <c r="X34" s="150">
        <f>Weather!I154</f>
        <v>78.100000000000009</v>
      </c>
      <c r="Y34" s="150">
        <f>Weather!J154</f>
        <v>9.1000000000000014</v>
      </c>
      <c r="Z34" s="150">
        <f>Weather!K154</f>
        <v>121.49999999999999</v>
      </c>
      <c r="AA34" s="150">
        <f>Weather!L154</f>
        <v>0</v>
      </c>
      <c r="AB34" s="150">
        <f>Weather!M154</f>
        <v>172.39999999999998</v>
      </c>
      <c r="AC34" s="150">
        <f>Weather!N154</f>
        <v>0</v>
      </c>
      <c r="AD34" s="150">
        <f>Weather!O154</f>
        <v>232.39999999999998</v>
      </c>
      <c r="AE34" s="150">
        <f>Weather!P154</f>
        <v>0</v>
      </c>
      <c r="AF34" s="150">
        <f>Weather!Q154</f>
        <v>292.39999999999998</v>
      </c>
      <c r="AG34" s="151">
        <f t="shared" si="16"/>
        <v>30</v>
      </c>
      <c r="AH34" s="151">
        <v>20</v>
      </c>
      <c r="AI34">
        <f t="shared" ref="AI34:AV34" si="35">AI22</f>
        <v>0</v>
      </c>
      <c r="AJ34">
        <f t="shared" si="35"/>
        <v>0</v>
      </c>
      <c r="AK34">
        <f t="shared" si="35"/>
        <v>0</v>
      </c>
      <c r="AL34">
        <f t="shared" si="35"/>
        <v>0</v>
      </c>
      <c r="AM34">
        <f t="shared" si="35"/>
        <v>0</v>
      </c>
      <c r="AN34">
        <f t="shared" si="35"/>
        <v>0</v>
      </c>
      <c r="AO34">
        <f t="shared" si="35"/>
        <v>0</v>
      </c>
      <c r="AP34">
        <f t="shared" si="35"/>
        <v>0</v>
      </c>
      <c r="AQ34">
        <f t="shared" si="35"/>
        <v>1</v>
      </c>
      <c r="AR34">
        <f t="shared" si="35"/>
        <v>0</v>
      </c>
      <c r="AS34">
        <f t="shared" si="35"/>
        <v>0</v>
      </c>
      <c r="AT34">
        <f t="shared" si="35"/>
        <v>0</v>
      </c>
      <c r="AU34">
        <f t="shared" si="35"/>
        <v>0</v>
      </c>
      <c r="AV34">
        <f t="shared" si="35"/>
        <v>1</v>
      </c>
      <c r="AW34">
        <f t="shared" si="5"/>
        <v>1</v>
      </c>
      <c r="AX34">
        <f t="shared" si="13"/>
        <v>33</v>
      </c>
      <c r="AY34" s="154">
        <v>0</v>
      </c>
      <c r="AZ34" s="154">
        <f t="shared" si="6"/>
        <v>0</v>
      </c>
      <c r="BA34" s="155">
        <f t="shared" si="7"/>
        <v>0</v>
      </c>
      <c r="BB34" s="155">
        <f t="shared" si="8"/>
        <v>0</v>
      </c>
      <c r="BC34" s="155">
        <f t="shared" si="9"/>
        <v>0</v>
      </c>
      <c r="BD34" s="155">
        <f t="shared" si="10"/>
        <v>0</v>
      </c>
      <c r="BE34" s="236">
        <f t="shared" si="11"/>
        <v>6099.6100000000015</v>
      </c>
      <c r="BF34">
        <f>X34*'Rate Class Customer Model'!O34</f>
        <v>788673.32500000007</v>
      </c>
      <c r="BG34" s="123">
        <f t="shared" si="12"/>
        <v>903597.47500000056</v>
      </c>
      <c r="BH34">
        <v>0</v>
      </c>
    </row>
    <row r="35" spans="1:60" x14ac:dyDescent="0.2">
      <c r="A35" s="3">
        <v>41548</v>
      </c>
      <c r="B35">
        <f t="shared" si="0"/>
        <v>2013</v>
      </c>
      <c r="C35">
        <f t="shared" si="1"/>
        <v>10</v>
      </c>
      <c r="D35" s="46">
        <f>Purchases!D95</f>
        <v>18114283.333333336</v>
      </c>
      <c r="E35" s="46">
        <f>Purchases!E95</f>
        <v>3980625.1063999999</v>
      </c>
      <c r="F35" s="46">
        <f ca="1">CDM!D51</f>
        <v>185651.37248759085</v>
      </c>
      <c r="G35" s="46">
        <f t="shared" ca="1" si="2"/>
        <v>18299934.705820926</v>
      </c>
      <c r="H35" s="46">
        <f t="shared" si="3"/>
        <v>14133658.226933336</v>
      </c>
      <c r="I35" s="46">
        <f t="shared" ca="1" si="4"/>
        <v>14319309.599420926</v>
      </c>
      <c r="J35" s="46">
        <f>'Rate Class Customer Model'!V35</f>
        <v>14252.166666666661</v>
      </c>
      <c r="K35" s="109">
        <f>IF(C35=12,VLOOKUP(B35,'Rate Class Customer Model'!$A$32:$J$44,10,FALSE),(VLOOKUP(B35+1,'Rate Class Customer Model'!$A$32:$J$44,10,FALSE)-VLOOKUP(B35,'Rate Class Customer Model'!$A$32:$J$44,10,FALSE))/12+K34)</f>
        <v>11577.833333333339</v>
      </c>
      <c r="L35" s="152">
        <f>Economic!C35</f>
        <v>643937</v>
      </c>
      <c r="M35" s="152">
        <f>Economic!E35</f>
        <v>144.78658808449921</v>
      </c>
      <c r="N35" s="152">
        <f>Economic!F35</f>
        <v>6850.3</v>
      </c>
      <c r="O35" s="152">
        <f>Economic!G35</f>
        <v>6889</v>
      </c>
      <c r="P35" s="152">
        <f>Economic!H35</f>
        <v>154.5</v>
      </c>
      <c r="Q35" s="152">
        <f>Economic!I35</f>
        <v>155.80000000000001</v>
      </c>
      <c r="R35" s="149">
        <f>Weather!C155</f>
        <v>12.370967741935486</v>
      </c>
      <c r="S35" s="150">
        <f>Weather!D155</f>
        <v>240.3</v>
      </c>
      <c r="T35" s="150">
        <f>Weather!E155</f>
        <v>3.8000000000000007</v>
      </c>
      <c r="U35" s="150">
        <f>Weather!F155</f>
        <v>187.09999999999997</v>
      </c>
      <c r="V35" s="150">
        <f>Weather!G155</f>
        <v>12.599999999999998</v>
      </c>
      <c r="W35" s="150">
        <f>Weather!H155</f>
        <v>139.1</v>
      </c>
      <c r="X35" s="150">
        <f>Weather!I155</f>
        <v>26.599999999999998</v>
      </c>
      <c r="Y35" s="150">
        <f>Weather!J155</f>
        <v>96.100000000000023</v>
      </c>
      <c r="Z35" s="150">
        <f>Weather!K155</f>
        <v>45.599999999999994</v>
      </c>
      <c r="AA35" s="150">
        <f>Weather!L155</f>
        <v>62.2</v>
      </c>
      <c r="AB35" s="150">
        <f>Weather!M155</f>
        <v>73.699999999999989</v>
      </c>
      <c r="AC35" s="150">
        <f>Weather!N155</f>
        <v>36.5</v>
      </c>
      <c r="AD35" s="150">
        <f>Weather!O155</f>
        <v>109.99999999999999</v>
      </c>
      <c r="AE35" s="150">
        <f>Weather!P155</f>
        <v>18.2</v>
      </c>
      <c r="AF35" s="150">
        <f>Weather!Q155</f>
        <v>153.69999999999996</v>
      </c>
      <c r="AG35" s="151">
        <f t="shared" si="16"/>
        <v>31</v>
      </c>
      <c r="AH35" s="151">
        <v>22</v>
      </c>
      <c r="AI35">
        <f t="shared" ref="AI35:AV35" si="36">AI23</f>
        <v>0</v>
      </c>
      <c r="AJ35">
        <f t="shared" si="36"/>
        <v>0</v>
      </c>
      <c r="AK35">
        <f t="shared" si="36"/>
        <v>0</v>
      </c>
      <c r="AL35">
        <f t="shared" si="36"/>
        <v>0</v>
      </c>
      <c r="AM35">
        <f t="shared" si="36"/>
        <v>0</v>
      </c>
      <c r="AN35">
        <f t="shared" si="36"/>
        <v>0</v>
      </c>
      <c r="AO35">
        <f t="shared" si="36"/>
        <v>0</v>
      </c>
      <c r="AP35">
        <f t="shared" si="36"/>
        <v>0</v>
      </c>
      <c r="AQ35">
        <f t="shared" si="36"/>
        <v>0</v>
      </c>
      <c r="AR35">
        <f t="shared" si="36"/>
        <v>1</v>
      </c>
      <c r="AS35">
        <f t="shared" si="36"/>
        <v>0</v>
      </c>
      <c r="AT35">
        <f t="shared" si="36"/>
        <v>0</v>
      </c>
      <c r="AU35">
        <f t="shared" si="36"/>
        <v>0</v>
      </c>
      <c r="AV35">
        <f t="shared" si="36"/>
        <v>1</v>
      </c>
      <c r="AW35">
        <f t="shared" si="5"/>
        <v>1</v>
      </c>
      <c r="AX35">
        <f t="shared" si="13"/>
        <v>34</v>
      </c>
      <c r="AY35" s="154">
        <v>0</v>
      </c>
      <c r="AZ35" s="154">
        <f t="shared" si="6"/>
        <v>0</v>
      </c>
      <c r="BA35" s="155">
        <f t="shared" si="7"/>
        <v>0</v>
      </c>
      <c r="BB35" s="155">
        <f t="shared" si="8"/>
        <v>0</v>
      </c>
      <c r="BC35" s="155">
        <f t="shared" si="9"/>
        <v>0</v>
      </c>
      <c r="BD35" s="155">
        <f t="shared" si="10"/>
        <v>0</v>
      </c>
      <c r="BE35" s="236">
        <f t="shared" si="11"/>
        <v>707.55999999999983</v>
      </c>
      <c r="BF35">
        <f>X35*'Rate Class Customer Model'!O35</f>
        <v>268753.09999999998</v>
      </c>
      <c r="BG35" s="123">
        <f t="shared" si="12"/>
        <v>307970.36666666681</v>
      </c>
      <c r="BH35">
        <v>0</v>
      </c>
    </row>
    <row r="36" spans="1:60" x14ac:dyDescent="0.2">
      <c r="A36" s="3">
        <v>41579</v>
      </c>
      <c r="B36">
        <f t="shared" si="0"/>
        <v>2013</v>
      </c>
      <c r="C36">
        <f t="shared" si="1"/>
        <v>11</v>
      </c>
      <c r="D36" s="46">
        <f>Purchases!D96</f>
        <v>19414258.333333336</v>
      </c>
      <c r="E36" s="46">
        <f>Purchases!E96</f>
        <v>3873271.5369000002</v>
      </c>
      <c r="F36" s="46">
        <f ca="1">CDM!D52</f>
        <v>189818.98648143286</v>
      </c>
      <c r="G36" s="46">
        <f t="shared" ca="1" si="2"/>
        <v>19604077.319814768</v>
      </c>
      <c r="H36" s="46">
        <f t="shared" si="3"/>
        <v>15540986.796433335</v>
      </c>
      <c r="I36" s="46">
        <f t="shared" ca="1" si="4"/>
        <v>15730805.782914767</v>
      </c>
      <c r="J36" s="46">
        <f>'Rate Class Customer Model'!V36</f>
        <v>14258.083333333327</v>
      </c>
      <c r="K36" s="109">
        <f>IF(C36=12,VLOOKUP(B36,'Rate Class Customer Model'!$A$32:$J$44,10,FALSE),(VLOOKUP(B36+1,'Rate Class Customer Model'!$A$32:$J$44,10,FALSE)-VLOOKUP(B36,'Rate Class Customer Model'!$A$32:$J$44,10,FALSE))/12+K35)</f>
        <v>11585.916666666673</v>
      </c>
      <c r="L36" s="152">
        <f>Economic!C36</f>
        <v>643937</v>
      </c>
      <c r="M36" s="152">
        <f>Economic!E36</f>
        <v>144.95547881942247</v>
      </c>
      <c r="N36" s="152">
        <f>Economic!F36</f>
        <v>6854</v>
      </c>
      <c r="O36" s="152">
        <f>Economic!G36</f>
        <v>6863.8</v>
      </c>
      <c r="P36" s="152">
        <f>Economic!H36</f>
        <v>155</v>
      </c>
      <c r="Q36" s="152">
        <f>Economic!I36</f>
        <v>156.69999999999999</v>
      </c>
      <c r="R36" s="149">
        <f>Weather!C156</f>
        <v>3.2433333333333336</v>
      </c>
      <c r="S36" s="150">
        <f>Weather!D156</f>
        <v>502.70000000000005</v>
      </c>
      <c r="T36" s="150">
        <f>Weather!E156</f>
        <v>0</v>
      </c>
      <c r="U36" s="150">
        <f>Weather!F156</f>
        <v>442.7</v>
      </c>
      <c r="V36" s="150">
        <f>Weather!G156</f>
        <v>0</v>
      </c>
      <c r="W36" s="150">
        <f>Weather!H156</f>
        <v>382.7</v>
      </c>
      <c r="X36" s="150">
        <f>Weather!I156</f>
        <v>0</v>
      </c>
      <c r="Y36" s="150">
        <f>Weather!J156</f>
        <v>322.7</v>
      </c>
      <c r="Z36" s="150">
        <f>Weather!K156</f>
        <v>0</v>
      </c>
      <c r="AA36" s="150">
        <f>Weather!L156</f>
        <v>264</v>
      </c>
      <c r="AB36" s="150">
        <f>Weather!M156</f>
        <v>1.3000000000000007</v>
      </c>
      <c r="AC36" s="150">
        <f>Weather!N156</f>
        <v>208.60000000000002</v>
      </c>
      <c r="AD36" s="150">
        <f>Weather!O156</f>
        <v>5.9</v>
      </c>
      <c r="AE36" s="150">
        <f>Weather!P156</f>
        <v>157.50000000000003</v>
      </c>
      <c r="AF36" s="150">
        <f>Weather!Q156</f>
        <v>14.8</v>
      </c>
      <c r="AG36" s="151">
        <f t="shared" si="16"/>
        <v>30</v>
      </c>
      <c r="AH36" s="151">
        <v>21</v>
      </c>
      <c r="AI36">
        <f t="shared" ref="AI36:AV36" si="37">AI24</f>
        <v>0</v>
      </c>
      <c r="AJ36">
        <f t="shared" si="37"/>
        <v>0</v>
      </c>
      <c r="AK36">
        <f t="shared" si="37"/>
        <v>0</v>
      </c>
      <c r="AL36">
        <f t="shared" si="37"/>
        <v>0</v>
      </c>
      <c r="AM36">
        <f t="shared" si="37"/>
        <v>0</v>
      </c>
      <c r="AN36">
        <f t="shared" si="37"/>
        <v>0</v>
      </c>
      <c r="AO36">
        <f t="shared" si="37"/>
        <v>0</v>
      </c>
      <c r="AP36">
        <f t="shared" si="37"/>
        <v>0</v>
      </c>
      <c r="AQ36">
        <f t="shared" si="37"/>
        <v>0</v>
      </c>
      <c r="AR36">
        <f t="shared" si="37"/>
        <v>0</v>
      </c>
      <c r="AS36">
        <f t="shared" si="37"/>
        <v>1</v>
      </c>
      <c r="AT36">
        <f t="shared" si="37"/>
        <v>0</v>
      </c>
      <c r="AU36">
        <f t="shared" si="37"/>
        <v>0</v>
      </c>
      <c r="AV36">
        <f t="shared" si="37"/>
        <v>1</v>
      </c>
      <c r="AW36">
        <f t="shared" si="5"/>
        <v>1</v>
      </c>
      <c r="AX36">
        <f t="shared" si="13"/>
        <v>35</v>
      </c>
      <c r="AY36" s="154">
        <v>0</v>
      </c>
      <c r="AZ36" s="154">
        <f t="shared" si="6"/>
        <v>0</v>
      </c>
      <c r="BA36" s="155">
        <f t="shared" si="7"/>
        <v>0</v>
      </c>
      <c r="BB36" s="155">
        <f t="shared" si="8"/>
        <v>0</v>
      </c>
      <c r="BC36" s="155">
        <f t="shared" si="9"/>
        <v>0</v>
      </c>
      <c r="BD36" s="155">
        <f t="shared" si="10"/>
        <v>0</v>
      </c>
      <c r="BE36" s="236">
        <f t="shared" si="11"/>
        <v>0</v>
      </c>
      <c r="BF36">
        <f>X36*'Rate Class Customer Model'!O36</f>
        <v>0</v>
      </c>
      <c r="BG36" s="123">
        <f t="shared" si="12"/>
        <v>0</v>
      </c>
      <c r="BH36">
        <v>0</v>
      </c>
    </row>
    <row r="37" spans="1:60" x14ac:dyDescent="0.2">
      <c r="A37" s="3">
        <v>41609</v>
      </c>
      <c r="B37">
        <f t="shared" si="0"/>
        <v>2013</v>
      </c>
      <c r="C37">
        <f t="shared" si="1"/>
        <v>12</v>
      </c>
      <c r="D37" s="46">
        <f>Purchases!D97</f>
        <v>22361725</v>
      </c>
      <c r="E37" s="46">
        <f>Purchases!E97</f>
        <v>4755196.7389000002</v>
      </c>
      <c r="F37" s="46">
        <f ca="1">CDM!D53</f>
        <v>193986.60047527484</v>
      </c>
      <c r="G37" s="46">
        <f t="shared" ca="1" si="2"/>
        <v>22555711.600475274</v>
      </c>
      <c r="H37" s="46">
        <f t="shared" si="3"/>
        <v>17606528.261100002</v>
      </c>
      <c r="I37" s="46">
        <f t="shared" ca="1" si="4"/>
        <v>17800514.861575276</v>
      </c>
      <c r="J37" s="46">
        <f>'Rate Class Customer Model'!V37</f>
        <v>14264</v>
      </c>
      <c r="K37" s="109">
        <f>IF(C37=12,VLOOKUP(B37,'Rate Class Customer Model'!$A$32:$J$44,10,FALSE),(VLOOKUP(B37+1,'Rate Class Customer Model'!$A$32:$J$44,10,FALSE)-VLOOKUP(B37,'Rate Class Customer Model'!$A$32:$J$44,10,FALSE))/12+K36)</f>
        <v>11559</v>
      </c>
      <c r="L37" s="152">
        <f>Economic!C37</f>
        <v>643937</v>
      </c>
      <c r="M37" s="152">
        <f>Economic!E37</f>
        <v>145.12436955434572</v>
      </c>
      <c r="N37" s="152">
        <f>Economic!F37</f>
        <v>6850.4</v>
      </c>
      <c r="O37" s="152">
        <f>Economic!G37</f>
        <v>6849.3</v>
      </c>
      <c r="P37" s="152">
        <f>Economic!H37</f>
        <v>157</v>
      </c>
      <c r="Q37" s="152">
        <f>Economic!I37</f>
        <v>159.19999999999999</v>
      </c>
      <c r="R37" s="149">
        <f>Weather!C157</f>
        <v>-2.5096774193548392</v>
      </c>
      <c r="S37" s="150">
        <f>Weather!D157</f>
        <v>697.8</v>
      </c>
      <c r="T37" s="150">
        <f>Weather!E157</f>
        <v>0</v>
      </c>
      <c r="U37" s="150">
        <f>Weather!F157</f>
        <v>635.79999999999995</v>
      </c>
      <c r="V37" s="150">
        <f>Weather!G157</f>
        <v>0</v>
      </c>
      <c r="W37" s="150">
        <f>Weather!H157</f>
        <v>573.79999999999995</v>
      </c>
      <c r="X37" s="150">
        <f>Weather!I157</f>
        <v>0</v>
      </c>
      <c r="Y37" s="150">
        <f>Weather!J157</f>
        <v>511.7999999999999</v>
      </c>
      <c r="Z37" s="150">
        <f>Weather!K157</f>
        <v>0</v>
      </c>
      <c r="AA37" s="150">
        <f>Weather!L157</f>
        <v>449.7999999999999</v>
      </c>
      <c r="AB37" s="150">
        <f>Weather!M157</f>
        <v>0</v>
      </c>
      <c r="AC37" s="150">
        <f>Weather!N157</f>
        <v>388.09999999999997</v>
      </c>
      <c r="AD37" s="150">
        <f>Weather!O157</f>
        <v>0.30000000000000071</v>
      </c>
      <c r="AE37" s="150">
        <f>Weather!P157</f>
        <v>329.09999999999991</v>
      </c>
      <c r="AF37" s="150">
        <f>Weather!Q157</f>
        <v>3.3000000000000007</v>
      </c>
      <c r="AG37" s="151">
        <f t="shared" si="16"/>
        <v>31</v>
      </c>
      <c r="AH37" s="151">
        <v>20</v>
      </c>
      <c r="AI37">
        <f t="shared" ref="AI37:AV37" si="38">AI25</f>
        <v>0</v>
      </c>
      <c r="AJ37">
        <f t="shared" si="38"/>
        <v>0</v>
      </c>
      <c r="AK37">
        <f t="shared" si="38"/>
        <v>0</v>
      </c>
      <c r="AL37">
        <f t="shared" si="38"/>
        <v>0</v>
      </c>
      <c r="AM37">
        <f t="shared" si="38"/>
        <v>0</v>
      </c>
      <c r="AN37">
        <f t="shared" si="38"/>
        <v>0</v>
      </c>
      <c r="AO37">
        <f t="shared" si="38"/>
        <v>0</v>
      </c>
      <c r="AP37">
        <f t="shared" si="38"/>
        <v>0</v>
      </c>
      <c r="AQ37">
        <f t="shared" si="38"/>
        <v>0</v>
      </c>
      <c r="AR37">
        <f t="shared" si="38"/>
        <v>0</v>
      </c>
      <c r="AS37">
        <f t="shared" si="38"/>
        <v>0</v>
      </c>
      <c r="AT37">
        <f t="shared" si="38"/>
        <v>1</v>
      </c>
      <c r="AU37">
        <f t="shared" si="38"/>
        <v>0</v>
      </c>
      <c r="AV37">
        <f t="shared" si="38"/>
        <v>0</v>
      </c>
      <c r="AW37">
        <f t="shared" si="5"/>
        <v>0</v>
      </c>
      <c r="AX37">
        <f t="shared" si="13"/>
        <v>36</v>
      </c>
      <c r="AY37" s="154">
        <v>0</v>
      </c>
      <c r="AZ37" s="154">
        <f t="shared" si="6"/>
        <v>0</v>
      </c>
      <c r="BA37" s="155">
        <f t="shared" si="7"/>
        <v>0</v>
      </c>
      <c r="BB37" s="155">
        <f t="shared" si="8"/>
        <v>0</v>
      </c>
      <c r="BC37" s="155">
        <f t="shared" si="9"/>
        <v>0</v>
      </c>
      <c r="BD37" s="155">
        <f t="shared" si="10"/>
        <v>0</v>
      </c>
      <c r="BE37" s="236">
        <f t="shared" si="11"/>
        <v>0</v>
      </c>
      <c r="BF37">
        <f>X37*'Rate Class Customer Model'!O37</f>
        <v>0</v>
      </c>
      <c r="BG37" s="123">
        <f t="shared" si="12"/>
        <v>0</v>
      </c>
      <c r="BH37">
        <v>0</v>
      </c>
    </row>
    <row r="38" spans="1:60" x14ac:dyDescent="0.2">
      <c r="A38" s="3">
        <v>41640</v>
      </c>
      <c r="B38">
        <f t="shared" si="0"/>
        <v>2014</v>
      </c>
      <c r="C38">
        <f t="shared" si="1"/>
        <v>1</v>
      </c>
      <c r="D38" s="46">
        <f>Purchases!D98</f>
        <v>24264791.666666668</v>
      </c>
      <c r="E38" s="46">
        <f>Purchases!E98</f>
        <v>5851666.1732000001</v>
      </c>
      <c r="F38" s="46">
        <f ca="1">CDM!D54</f>
        <v>203860.51658636567</v>
      </c>
      <c r="G38" s="46">
        <f t="shared" ca="1" si="2"/>
        <v>24468652.183253035</v>
      </c>
      <c r="H38" s="46">
        <f t="shared" si="3"/>
        <v>18413125.493466668</v>
      </c>
      <c r="I38" s="46">
        <f t="shared" ca="1" si="4"/>
        <v>18616986.010053035</v>
      </c>
      <c r="J38" s="46">
        <f>'Rate Class Customer Model'!V38</f>
        <v>14272.833333333334</v>
      </c>
      <c r="K38" s="109">
        <f>IF(C38=12,VLOOKUP(B38,'Rate Class Customer Model'!$A$32:$J$44,10,FALSE),(VLOOKUP(B38+1,'Rate Class Customer Model'!$A$32:$J$44,10,FALSE)-VLOOKUP(B38,'Rate Class Customer Model'!$A$32:$J$44,10,FALSE))/12+K37)</f>
        <v>11563.166666666666</v>
      </c>
      <c r="L38" s="152">
        <f>Economic!C38</f>
        <v>659861.19999999995</v>
      </c>
      <c r="M38" s="152">
        <f>Economic!E38</f>
        <v>145.42343989373933</v>
      </c>
      <c r="N38" s="152">
        <f>Economic!F38</f>
        <v>6848.3</v>
      </c>
      <c r="O38" s="152">
        <f>Economic!G38</f>
        <v>6806.1</v>
      </c>
      <c r="P38" s="152">
        <f>Economic!H38</f>
        <v>157.6</v>
      </c>
      <c r="Q38" s="152">
        <f>Economic!I38</f>
        <v>157.1</v>
      </c>
      <c r="R38" s="149">
        <f>Weather!C158</f>
        <v>-8.1193548387096772</v>
      </c>
      <c r="S38" s="150">
        <f>Weather!D158</f>
        <v>871.69999999999993</v>
      </c>
      <c r="T38" s="150">
        <f>Weather!E158</f>
        <v>0</v>
      </c>
      <c r="U38" s="150">
        <f>Weather!F158</f>
        <v>809.69999999999993</v>
      </c>
      <c r="V38" s="150">
        <f>Weather!G158</f>
        <v>0</v>
      </c>
      <c r="W38" s="150">
        <f>Weather!H158</f>
        <v>747.69999999999982</v>
      </c>
      <c r="X38" s="150">
        <f>Weather!I158</f>
        <v>0</v>
      </c>
      <c r="Y38" s="150">
        <f>Weather!J158</f>
        <v>685.69999999999982</v>
      </c>
      <c r="Z38" s="150">
        <f>Weather!K158</f>
        <v>0</v>
      </c>
      <c r="AA38" s="150">
        <f>Weather!L158</f>
        <v>623.69999999999993</v>
      </c>
      <c r="AB38" s="150">
        <f>Weather!M158</f>
        <v>0</v>
      </c>
      <c r="AC38" s="150">
        <f>Weather!N158</f>
        <v>561.70000000000005</v>
      </c>
      <c r="AD38" s="150">
        <f>Weather!O158</f>
        <v>0</v>
      </c>
      <c r="AE38" s="150">
        <f>Weather!P158</f>
        <v>499.7</v>
      </c>
      <c r="AF38" s="150">
        <f>Weather!Q158</f>
        <v>0</v>
      </c>
      <c r="AG38" s="151">
        <f t="shared" si="16"/>
        <v>31</v>
      </c>
      <c r="AH38" s="151">
        <v>22</v>
      </c>
      <c r="AI38">
        <f t="shared" ref="AI38:AV38" si="39">AI26</f>
        <v>1</v>
      </c>
      <c r="AJ38">
        <f t="shared" si="39"/>
        <v>0</v>
      </c>
      <c r="AK38">
        <f t="shared" si="39"/>
        <v>0</v>
      </c>
      <c r="AL38">
        <f t="shared" si="39"/>
        <v>0</v>
      </c>
      <c r="AM38">
        <f t="shared" si="39"/>
        <v>0</v>
      </c>
      <c r="AN38">
        <f t="shared" si="39"/>
        <v>0</v>
      </c>
      <c r="AO38">
        <f t="shared" si="39"/>
        <v>0</v>
      </c>
      <c r="AP38">
        <f t="shared" si="39"/>
        <v>0</v>
      </c>
      <c r="AQ38">
        <f t="shared" si="39"/>
        <v>0</v>
      </c>
      <c r="AR38">
        <f t="shared" si="39"/>
        <v>0</v>
      </c>
      <c r="AS38">
        <f t="shared" si="39"/>
        <v>0</v>
      </c>
      <c r="AT38">
        <f t="shared" si="39"/>
        <v>0</v>
      </c>
      <c r="AU38">
        <f t="shared" si="39"/>
        <v>0</v>
      </c>
      <c r="AV38">
        <f t="shared" si="39"/>
        <v>0</v>
      </c>
      <c r="AW38">
        <f t="shared" si="5"/>
        <v>0</v>
      </c>
      <c r="AX38">
        <f t="shared" si="13"/>
        <v>37</v>
      </c>
      <c r="AY38" s="154">
        <v>0</v>
      </c>
      <c r="AZ38" s="154">
        <f t="shared" si="6"/>
        <v>0</v>
      </c>
      <c r="BA38" s="155">
        <f t="shared" si="7"/>
        <v>0</v>
      </c>
      <c r="BB38" s="155">
        <f t="shared" si="8"/>
        <v>0</v>
      </c>
      <c r="BC38" s="155">
        <f t="shared" si="9"/>
        <v>0</v>
      </c>
      <c r="BD38" s="155">
        <f t="shared" si="10"/>
        <v>0</v>
      </c>
      <c r="BE38" s="236">
        <f t="shared" si="11"/>
        <v>0</v>
      </c>
      <c r="BF38">
        <f>X38*'Rate Class Customer Model'!O38</f>
        <v>0</v>
      </c>
      <c r="BG38" s="123">
        <f t="shared" si="12"/>
        <v>0</v>
      </c>
      <c r="BH38">
        <v>0</v>
      </c>
    </row>
    <row r="39" spans="1:60" x14ac:dyDescent="0.2">
      <c r="A39" s="3">
        <v>41671</v>
      </c>
      <c r="B39">
        <f t="shared" si="0"/>
        <v>2014</v>
      </c>
      <c r="C39">
        <f t="shared" si="1"/>
        <v>2</v>
      </c>
      <c r="D39" s="46">
        <f>Purchases!D99</f>
        <v>20828400.000000004</v>
      </c>
      <c r="E39" s="46">
        <f>Purchases!E99</f>
        <v>6455879.2321999995</v>
      </c>
      <c r="F39" s="46">
        <f ca="1">CDM!D55</f>
        <v>209554.41711869786</v>
      </c>
      <c r="G39" s="46">
        <f t="shared" ca="1" si="2"/>
        <v>21037954.417118702</v>
      </c>
      <c r="H39" s="46">
        <f t="shared" si="3"/>
        <v>14372520.767800003</v>
      </c>
      <c r="I39" s="46">
        <f t="shared" ca="1" si="4"/>
        <v>14582075.184918702</v>
      </c>
      <c r="J39" s="46">
        <f>'Rate Class Customer Model'!V39</f>
        <v>14281.666666666668</v>
      </c>
      <c r="K39" s="109">
        <f>IF(C39=12,VLOOKUP(B39,'Rate Class Customer Model'!$A$32:$J$44,10,FALSE),(VLOOKUP(B39+1,'Rate Class Customer Model'!$A$32:$J$44,10,FALSE)-VLOOKUP(B39,'Rate Class Customer Model'!$A$32:$J$44,10,FALSE))/12+K38)</f>
        <v>11567.333333333332</v>
      </c>
      <c r="L39" s="152">
        <f>Economic!C39</f>
        <v>659861.19999999995</v>
      </c>
      <c r="M39" s="152">
        <f>Economic!E39</f>
        <v>145.72251023313294</v>
      </c>
      <c r="N39" s="152">
        <f>Economic!F39</f>
        <v>6850</v>
      </c>
      <c r="O39" s="152">
        <f>Economic!G39</f>
        <v>6772.3</v>
      </c>
      <c r="P39" s="152">
        <f>Economic!H39</f>
        <v>156.4</v>
      </c>
      <c r="Q39" s="152">
        <f>Economic!I39</f>
        <v>154.69999999999999</v>
      </c>
      <c r="R39" s="149">
        <f>Weather!C159</f>
        <v>-7.1821428571428569</v>
      </c>
      <c r="S39" s="150">
        <f>Weather!D159</f>
        <v>761.10000000000014</v>
      </c>
      <c r="T39" s="150">
        <f>Weather!E159</f>
        <v>0</v>
      </c>
      <c r="U39" s="150">
        <f>Weather!F159</f>
        <v>705.10000000000014</v>
      </c>
      <c r="V39" s="150">
        <f>Weather!G159</f>
        <v>0</v>
      </c>
      <c r="W39" s="150">
        <f>Weather!H159</f>
        <v>649.1</v>
      </c>
      <c r="X39" s="150">
        <f>Weather!I159</f>
        <v>0</v>
      </c>
      <c r="Y39" s="150">
        <f>Weather!J159</f>
        <v>593.1</v>
      </c>
      <c r="Z39" s="150">
        <f>Weather!K159</f>
        <v>0</v>
      </c>
      <c r="AA39" s="150">
        <f>Weather!L159</f>
        <v>537.09999999999991</v>
      </c>
      <c r="AB39" s="150">
        <f>Weather!M159</f>
        <v>0</v>
      </c>
      <c r="AC39" s="150">
        <f>Weather!N159</f>
        <v>481.09999999999985</v>
      </c>
      <c r="AD39" s="150">
        <f>Weather!O159</f>
        <v>0</v>
      </c>
      <c r="AE39" s="150">
        <f>Weather!P159</f>
        <v>425.09999999999985</v>
      </c>
      <c r="AF39" s="150">
        <f>Weather!Q159</f>
        <v>0</v>
      </c>
      <c r="AG39" s="151">
        <f t="shared" si="16"/>
        <v>28</v>
      </c>
      <c r="AH39" s="151">
        <v>19</v>
      </c>
      <c r="AI39">
        <f t="shared" ref="AI39:AV39" si="40">AI27</f>
        <v>0</v>
      </c>
      <c r="AJ39">
        <f t="shared" si="40"/>
        <v>1</v>
      </c>
      <c r="AK39">
        <f t="shared" si="40"/>
        <v>0</v>
      </c>
      <c r="AL39">
        <f t="shared" si="40"/>
        <v>0</v>
      </c>
      <c r="AM39">
        <f t="shared" si="40"/>
        <v>0</v>
      </c>
      <c r="AN39">
        <f t="shared" si="40"/>
        <v>0</v>
      </c>
      <c r="AO39">
        <f t="shared" si="40"/>
        <v>0</v>
      </c>
      <c r="AP39">
        <f t="shared" si="40"/>
        <v>0</v>
      </c>
      <c r="AQ39">
        <f t="shared" si="40"/>
        <v>0</v>
      </c>
      <c r="AR39">
        <f t="shared" si="40"/>
        <v>0</v>
      </c>
      <c r="AS39">
        <f t="shared" si="40"/>
        <v>0</v>
      </c>
      <c r="AT39">
        <f t="shared" si="40"/>
        <v>0</v>
      </c>
      <c r="AU39">
        <f t="shared" si="40"/>
        <v>0</v>
      </c>
      <c r="AV39">
        <f t="shared" si="40"/>
        <v>0</v>
      </c>
      <c r="AW39">
        <f t="shared" si="5"/>
        <v>0</v>
      </c>
      <c r="AX39">
        <f t="shared" si="13"/>
        <v>38</v>
      </c>
      <c r="AY39" s="154">
        <v>0</v>
      </c>
      <c r="AZ39" s="154">
        <f t="shared" si="6"/>
        <v>0</v>
      </c>
      <c r="BA39" s="155">
        <f t="shared" si="7"/>
        <v>0</v>
      </c>
      <c r="BB39" s="155">
        <f t="shared" si="8"/>
        <v>0</v>
      </c>
      <c r="BC39" s="155">
        <f t="shared" si="9"/>
        <v>0</v>
      </c>
      <c r="BD39" s="155">
        <f t="shared" si="10"/>
        <v>0</v>
      </c>
      <c r="BE39" s="236">
        <f t="shared" si="11"/>
        <v>0</v>
      </c>
      <c r="BF39">
        <f>X39*'Rate Class Customer Model'!O39</f>
        <v>0</v>
      </c>
      <c r="BG39" s="123">
        <f t="shared" si="12"/>
        <v>0</v>
      </c>
      <c r="BH39">
        <v>0</v>
      </c>
    </row>
    <row r="40" spans="1:60" x14ac:dyDescent="0.2">
      <c r="A40" s="3">
        <v>41699</v>
      </c>
      <c r="B40">
        <f t="shared" si="0"/>
        <v>2014</v>
      </c>
      <c r="C40">
        <f t="shared" si="1"/>
        <v>3</v>
      </c>
      <c r="D40" s="46">
        <f>Purchases!D100</f>
        <v>21052908.333333336</v>
      </c>
      <c r="E40" s="46">
        <f>Purchases!E100</f>
        <v>5377054.6365999999</v>
      </c>
      <c r="F40" s="46">
        <f ca="1">CDM!D56</f>
        <v>215248.31765103003</v>
      </c>
      <c r="G40" s="46">
        <f t="shared" ca="1" si="2"/>
        <v>21268156.650984365</v>
      </c>
      <c r="H40" s="46">
        <f t="shared" si="3"/>
        <v>15675853.696733337</v>
      </c>
      <c r="I40" s="46">
        <f t="shared" ca="1" si="4"/>
        <v>15891102.014384367</v>
      </c>
      <c r="J40" s="46">
        <f>'Rate Class Customer Model'!V40</f>
        <v>14290.500000000002</v>
      </c>
      <c r="K40" s="109">
        <f>IF(C40=12,VLOOKUP(B40,'Rate Class Customer Model'!$A$32:$J$44,10,FALSE),(VLOOKUP(B40+1,'Rate Class Customer Model'!$A$32:$J$44,10,FALSE)-VLOOKUP(B40,'Rate Class Customer Model'!$A$32:$J$44,10,FALSE))/12+K39)</f>
        <v>11571.499999999998</v>
      </c>
      <c r="L40" s="152">
        <f>Economic!C40</f>
        <v>659861.19999999995</v>
      </c>
      <c r="M40" s="152">
        <f>Economic!E40</f>
        <v>146.02158057252655</v>
      </c>
      <c r="N40" s="152">
        <f>Economic!F40</f>
        <v>6856.4</v>
      </c>
      <c r="O40" s="152">
        <f>Economic!G40</f>
        <v>6751.3</v>
      </c>
      <c r="P40" s="152">
        <f>Economic!H40</f>
        <v>155.30000000000001</v>
      </c>
      <c r="Q40" s="152">
        <f>Economic!I40</f>
        <v>152.4</v>
      </c>
      <c r="R40" s="149">
        <f>Weather!C160</f>
        <v>-2.5516129032258057</v>
      </c>
      <c r="S40" s="150">
        <f>Weather!D160</f>
        <v>699.1</v>
      </c>
      <c r="T40" s="150">
        <f>Weather!E160</f>
        <v>0</v>
      </c>
      <c r="U40" s="150">
        <f>Weather!F160</f>
        <v>637.10000000000014</v>
      </c>
      <c r="V40" s="150">
        <f>Weather!G160</f>
        <v>0</v>
      </c>
      <c r="W40" s="150">
        <f>Weather!H160</f>
        <v>575.1</v>
      </c>
      <c r="X40" s="150">
        <f>Weather!I160</f>
        <v>0</v>
      </c>
      <c r="Y40" s="150">
        <f>Weather!J160</f>
        <v>513.10000000000014</v>
      </c>
      <c r="Z40" s="150">
        <f>Weather!K160</f>
        <v>0</v>
      </c>
      <c r="AA40" s="150">
        <f>Weather!L160</f>
        <v>451.10000000000008</v>
      </c>
      <c r="AB40" s="150">
        <f>Weather!M160</f>
        <v>0</v>
      </c>
      <c r="AC40" s="150">
        <f>Weather!N160</f>
        <v>389.10000000000008</v>
      </c>
      <c r="AD40" s="150">
        <f>Weather!O160</f>
        <v>0</v>
      </c>
      <c r="AE40" s="150">
        <f>Weather!P160</f>
        <v>327.10000000000008</v>
      </c>
      <c r="AF40" s="150">
        <f>Weather!Q160</f>
        <v>0</v>
      </c>
      <c r="AG40" s="151">
        <f t="shared" si="16"/>
        <v>31</v>
      </c>
      <c r="AH40" s="151">
        <v>21</v>
      </c>
      <c r="AI40">
        <f t="shared" ref="AI40:AV40" si="41">AI28</f>
        <v>0</v>
      </c>
      <c r="AJ40">
        <f t="shared" si="41"/>
        <v>0</v>
      </c>
      <c r="AK40">
        <f t="shared" si="41"/>
        <v>1</v>
      </c>
      <c r="AL40">
        <f t="shared" si="41"/>
        <v>0</v>
      </c>
      <c r="AM40">
        <f t="shared" si="41"/>
        <v>0</v>
      </c>
      <c r="AN40">
        <f t="shared" si="41"/>
        <v>0</v>
      </c>
      <c r="AO40">
        <f t="shared" si="41"/>
        <v>0</v>
      </c>
      <c r="AP40">
        <f t="shared" si="41"/>
        <v>0</v>
      </c>
      <c r="AQ40">
        <f t="shared" si="41"/>
        <v>0</v>
      </c>
      <c r="AR40">
        <f t="shared" si="41"/>
        <v>0</v>
      </c>
      <c r="AS40">
        <f t="shared" si="41"/>
        <v>0</v>
      </c>
      <c r="AT40">
        <f t="shared" si="41"/>
        <v>0</v>
      </c>
      <c r="AU40">
        <f t="shared" si="41"/>
        <v>1</v>
      </c>
      <c r="AV40">
        <f t="shared" si="41"/>
        <v>0</v>
      </c>
      <c r="AW40">
        <f t="shared" si="5"/>
        <v>1</v>
      </c>
      <c r="AX40">
        <f t="shared" si="13"/>
        <v>39</v>
      </c>
      <c r="AY40" s="154">
        <v>0</v>
      </c>
      <c r="AZ40" s="154">
        <f t="shared" si="6"/>
        <v>0</v>
      </c>
      <c r="BA40" s="155">
        <f t="shared" si="7"/>
        <v>0</v>
      </c>
      <c r="BB40" s="155">
        <f t="shared" si="8"/>
        <v>0</v>
      </c>
      <c r="BC40" s="155">
        <f t="shared" si="9"/>
        <v>0</v>
      </c>
      <c r="BD40" s="155">
        <f t="shared" si="10"/>
        <v>0</v>
      </c>
      <c r="BE40" s="236">
        <f t="shared" si="11"/>
        <v>0</v>
      </c>
      <c r="BF40">
        <f>X40*'Rate Class Customer Model'!O40</f>
        <v>0</v>
      </c>
      <c r="BG40" s="123">
        <f t="shared" si="12"/>
        <v>0</v>
      </c>
      <c r="BH40">
        <v>0</v>
      </c>
    </row>
    <row r="41" spans="1:60" x14ac:dyDescent="0.2">
      <c r="A41" s="3">
        <v>41730</v>
      </c>
      <c r="B41">
        <f t="shared" si="0"/>
        <v>2014</v>
      </c>
      <c r="C41">
        <f t="shared" si="1"/>
        <v>4</v>
      </c>
      <c r="D41" s="46">
        <f>Purchases!D101</f>
        <v>17638016.666666668</v>
      </c>
      <c r="E41" s="46">
        <f>Purchases!E101</f>
        <v>5351869.0661999993</v>
      </c>
      <c r="F41" s="46">
        <f ca="1">CDM!D57</f>
        <v>220942.21818336219</v>
      </c>
      <c r="G41" s="46">
        <f t="shared" ca="1" si="2"/>
        <v>17858958.884850029</v>
      </c>
      <c r="H41" s="46">
        <f t="shared" si="3"/>
        <v>12286147.600466669</v>
      </c>
      <c r="I41" s="46">
        <f t="shared" ca="1" si="4"/>
        <v>12507089.81865003</v>
      </c>
      <c r="J41" s="46">
        <f>'Rate Class Customer Model'!V41</f>
        <v>14299.333333333336</v>
      </c>
      <c r="K41" s="109">
        <f>IF(C41=12,VLOOKUP(B41,'Rate Class Customer Model'!$A$32:$J$44,10,FALSE),(VLOOKUP(B41+1,'Rate Class Customer Model'!$A$32:$J$44,10,FALSE)-VLOOKUP(B41,'Rate Class Customer Model'!$A$32:$J$44,10,FALSE))/12+K40)</f>
        <v>11575.666666666664</v>
      </c>
      <c r="L41" s="152">
        <f>Economic!C41</f>
        <v>659861.19999999995</v>
      </c>
      <c r="M41" s="152">
        <f>Economic!E41</f>
        <v>146.32065091192015</v>
      </c>
      <c r="N41" s="152">
        <f>Economic!F41</f>
        <v>6869.6</v>
      </c>
      <c r="O41" s="152">
        <f>Economic!G41</f>
        <v>6785</v>
      </c>
      <c r="P41" s="152">
        <f>Economic!H41</f>
        <v>152.9</v>
      </c>
      <c r="Q41" s="152">
        <f>Economic!I41</f>
        <v>151.1</v>
      </c>
      <c r="R41" s="149">
        <f>Weather!C161</f>
        <v>8.5533333333333346</v>
      </c>
      <c r="S41" s="150">
        <f>Weather!D161</f>
        <v>343.40000000000003</v>
      </c>
      <c r="T41" s="150">
        <f>Weather!E161</f>
        <v>0</v>
      </c>
      <c r="U41" s="150">
        <f>Weather!F161</f>
        <v>283.40000000000003</v>
      </c>
      <c r="V41" s="150">
        <f>Weather!G161</f>
        <v>0</v>
      </c>
      <c r="W41" s="150">
        <f>Weather!H161</f>
        <v>223.7</v>
      </c>
      <c r="X41" s="150">
        <f>Weather!I161</f>
        <v>0.30000000000000071</v>
      </c>
      <c r="Y41" s="150">
        <f>Weather!J161</f>
        <v>167.99999999999997</v>
      </c>
      <c r="Z41" s="150">
        <f>Weather!K161</f>
        <v>4.6000000000000014</v>
      </c>
      <c r="AA41" s="150">
        <f>Weather!L161</f>
        <v>118.2</v>
      </c>
      <c r="AB41" s="150">
        <f>Weather!M161</f>
        <v>14.800000000000002</v>
      </c>
      <c r="AC41" s="150">
        <f>Weather!N161</f>
        <v>74.600000000000009</v>
      </c>
      <c r="AD41" s="150">
        <f>Weather!O161</f>
        <v>31.200000000000003</v>
      </c>
      <c r="AE41" s="150">
        <f>Weather!P161</f>
        <v>40.4</v>
      </c>
      <c r="AF41" s="150">
        <f>Weather!Q161</f>
        <v>57.000000000000007</v>
      </c>
      <c r="AG41" s="151">
        <f t="shared" si="16"/>
        <v>30</v>
      </c>
      <c r="AH41" s="151">
        <v>20</v>
      </c>
      <c r="AI41">
        <f t="shared" ref="AI41:AV41" si="42">AI29</f>
        <v>0</v>
      </c>
      <c r="AJ41">
        <f t="shared" si="42"/>
        <v>0</v>
      </c>
      <c r="AK41">
        <f t="shared" si="42"/>
        <v>0</v>
      </c>
      <c r="AL41">
        <f t="shared" si="42"/>
        <v>1</v>
      </c>
      <c r="AM41">
        <f t="shared" si="42"/>
        <v>0</v>
      </c>
      <c r="AN41">
        <f t="shared" si="42"/>
        <v>0</v>
      </c>
      <c r="AO41">
        <f t="shared" si="42"/>
        <v>0</v>
      </c>
      <c r="AP41">
        <f t="shared" si="42"/>
        <v>0</v>
      </c>
      <c r="AQ41">
        <f t="shared" si="42"/>
        <v>0</v>
      </c>
      <c r="AR41">
        <f t="shared" si="42"/>
        <v>0</v>
      </c>
      <c r="AS41">
        <f t="shared" si="42"/>
        <v>0</v>
      </c>
      <c r="AT41">
        <f t="shared" si="42"/>
        <v>0</v>
      </c>
      <c r="AU41">
        <f t="shared" si="42"/>
        <v>1</v>
      </c>
      <c r="AV41">
        <f t="shared" si="42"/>
        <v>0</v>
      </c>
      <c r="AW41">
        <f t="shared" si="5"/>
        <v>1</v>
      </c>
      <c r="AX41">
        <f t="shared" si="13"/>
        <v>40</v>
      </c>
      <c r="AY41" s="154">
        <v>0</v>
      </c>
      <c r="AZ41" s="154">
        <f t="shared" si="6"/>
        <v>0</v>
      </c>
      <c r="BA41" s="155">
        <f t="shared" si="7"/>
        <v>0</v>
      </c>
      <c r="BB41" s="155">
        <f t="shared" si="8"/>
        <v>0</v>
      </c>
      <c r="BC41" s="155">
        <f t="shared" si="9"/>
        <v>0</v>
      </c>
      <c r="BD41" s="155">
        <f t="shared" si="10"/>
        <v>0</v>
      </c>
      <c r="BE41" s="236">
        <f t="shared" si="11"/>
        <v>9.0000000000000427E-2</v>
      </c>
      <c r="BF41">
        <f>X41*'Rate Class Customer Model'!O41</f>
        <v>3042.1000000000081</v>
      </c>
      <c r="BG41" s="123">
        <f t="shared" si="12"/>
        <v>3472.7000000000075</v>
      </c>
      <c r="BH41">
        <v>0</v>
      </c>
    </row>
    <row r="42" spans="1:60" x14ac:dyDescent="0.2">
      <c r="A42" s="3">
        <v>41760</v>
      </c>
      <c r="B42">
        <f t="shared" si="0"/>
        <v>2014</v>
      </c>
      <c r="C42">
        <f t="shared" si="1"/>
        <v>5</v>
      </c>
      <c r="D42" s="46">
        <f>Purchases!D102</f>
        <v>18077492.307692308</v>
      </c>
      <c r="E42" s="46">
        <f>Purchases!E102</f>
        <v>4532702.1191399992</v>
      </c>
      <c r="F42" s="46">
        <f ca="1">CDM!D58</f>
        <v>226636.11871569435</v>
      </c>
      <c r="G42" s="46">
        <f t="shared" ca="1" si="2"/>
        <v>18304128.426408004</v>
      </c>
      <c r="H42" s="46">
        <f t="shared" si="3"/>
        <v>13544790.188552309</v>
      </c>
      <c r="I42" s="46">
        <f t="shared" ca="1" si="4"/>
        <v>13771426.307268005</v>
      </c>
      <c r="J42" s="46">
        <f>'Rate Class Customer Model'!V42</f>
        <v>14308.16666666667</v>
      </c>
      <c r="K42" s="109">
        <f>IF(C42=12,VLOOKUP(B42,'Rate Class Customer Model'!$A$32:$J$44,10,FALSE),(VLOOKUP(B42+1,'Rate Class Customer Model'!$A$32:$J$44,10,FALSE)-VLOOKUP(B42,'Rate Class Customer Model'!$A$32:$J$44,10,FALSE))/12+K41)</f>
        <v>11579.83333333333</v>
      </c>
      <c r="L42" s="152">
        <f>Economic!C42</f>
        <v>659861.19999999995</v>
      </c>
      <c r="M42" s="152">
        <f>Economic!E42</f>
        <v>146.61972125131376</v>
      </c>
      <c r="N42" s="152">
        <f>Economic!F42</f>
        <v>6870.6</v>
      </c>
      <c r="O42" s="152">
        <f>Economic!G42</f>
        <v>6842.6</v>
      </c>
      <c r="P42" s="152">
        <f>Economic!H42</f>
        <v>152.1</v>
      </c>
      <c r="Q42" s="152">
        <f>Economic!I42</f>
        <v>151.19999999999999</v>
      </c>
      <c r="R42" s="149">
        <f>Weather!C162</f>
        <v>15.525806451612905</v>
      </c>
      <c r="S42" s="150">
        <f>Weather!D162</f>
        <v>149</v>
      </c>
      <c r="T42" s="150">
        <f>Weather!E162</f>
        <v>10.299999999999997</v>
      </c>
      <c r="U42" s="150">
        <f>Weather!F162</f>
        <v>103.4</v>
      </c>
      <c r="V42" s="150">
        <f>Weather!G162</f>
        <v>26.7</v>
      </c>
      <c r="W42" s="150">
        <f>Weather!H162</f>
        <v>67.800000000000011</v>
      </c>
      <c r="X42" s="150">
        <f>Weather!I162</f>
        <v>53.099999999999994</v>
      </c>
      <c r="Y42" s="150">
        <f>Weather!J162</f>
        <v>41.5</v>
      </c>
      <c r="Z42" s="150">
        <f>Weather!K162</f>
        <v>88.8</v>
      </c>
      <c r="AA42" s="150">
        <f>Weather!L162</f>
        <v>19.400000000000002</v>
      </c>
      <c r="AB42" s="150">
        <f>Weather!M162</f>
        <v>128.69999999999999</v>
      </c>
      <c r="AC42" s="150">
        <f>Weather!N162</f>
        <v>5.2999999999999989</v>
      </c>
      <c r="AD42" s="150">
        <f>Weather!O162</f>
        <v>176.6</v>
      </c>
      <c r="AE42" s="150">
        <f>Weather!P162</f>
        <v>0.5</v>
      </c>
      <c r="AF42" s="150">
        <f>Weather!Q162</f>
        <v>233.79999999999998</v>
      </c>
      <c r="AG42" s="151">
        <f t="shared" si="16"/>
        <v>31</v>
      </c>
      <c r="AH42" s="151">
        <v>22</v>
      </c>
      <c r="AI42">
        <f t="shared" ref="AI42:AV42" si="43">AI30</f>
        <v>0</v>
      </c>
      <c r="AJ42">
        <f t="shared" si="43"/>
        <v>0</v>
      </c>
      <c r="AK42">
        <f t="shared" si="43"/>
        <v>0</v>
      </c>
      <c r="AL42">
        <f t="shared" si="43"/>
        <v>0</v>
      </c>
      <c r="AM42">
        <f t="shared" si="43"/>
        <v>1</v>
      </c>
      <c r="AN42">
        <f t="shared" si="43"/>
        <v>0</v>
      </c>
      <c r="AO42">
        <f t="shared" si="43"/>
        <v>0</v>
      </c>
      <c r="AP42">
        <f t="shared" si="43"/>
        <v>0</v>
      </c>
      <c r="AQ42">
        <f t="shared" si="43"/>
        <v>0</v>
      </c>
      <c r="AR42">
        <f t="shared" si="43"/>
        <v>0</v>
      </c>
      <c r="AS42">
        <f t="shared" si="43"/>
        <v>0</v>
      </c>
      <c r="AT42">
        <f t="shared" si="43"/>
        <v>0</v>
      </c>
      <c r="AU42">
        <f t="shared" si="43"/>
        <v>1</v>
      </c>
      <c r="AV42">
        <f t="shared" si="43"/>
        <v>0</v>
      </c>
      <c r="AW42">
        <f t="shared" si="5"/>
        <v>1</v>
      </c>
      <c r="AX42">
        <f t="shared" si="13"/>
        <v>41</v>
      </c>
      <c r="AY42" s="154">
        <v>0</v>
      </c>
      <c r="AZ42" s="154">
        <f t="shared" si="6"/>
        <v>0</v>
      </c>
      <c r="BA42" s="155">
        <f t="shared" si="7"/>
        <v>0</v>
      </c>
      <c r="BB42" s="155">
        <f t="shared" si="8"/>
        <v>0</v>
      </c>
      <c r="BC42" s="155">
        <f t="shared" si="9"/>
        <v>0</v>
      </c>
      <c r="BD42" s="155">
        <f t="shared" si="10"/>
        <v>0</v>
      </c>
      <c r="BE42" s="236">
        <f t="shared" si="11"/>
        <v>2819.6099999999992</v>
      </c>
      <c r="BF42">
        <f>X42*'Rate Class Customer Model'!O42</f>
        <v>538801.27500000014</v>
      </c>
      <c r="BG42" s="123">
        <f t="shared" si="12"/>
        <v>614889.14999999979</v>
      </c>
      <c r="BH42">
        <v>0</v>
      </c>
    </row>
    <row r="43" spans="1:60" x14ac:dyDescent="0.2">
      <c r="A43" s="3">
        <v>41791</v>
      </c>
      <c r="B43">
        <f t="shared" si="0"/>
        <v>2014</v>
      </c>
      <c r="C43">
        <f t="shared" si="1"/>
        <v>6</v>
      </c>
      <c r="D43" s="46">
        <f>Purchases!D103</f>
        <v>21714569.230769232</v>
      </c>
      <c r="E43" s="46">
        <f>Purchases!E103</f>
        <v>4769608.2417399995</v>
      </c>
      <c r="F43" s="46">
        <f ca="1">CDM!D59</f>
        <v>232330.01924802654</v>
      </c>
      <c r="G43" s="46">
        <f t="shared" ca="1" si="2"/>
        <v>21946899.250017259</v>
      </c>
      <c r="H43" s="46">
        <f t="shared" si="3"/>
        <v>16944960.989029232</v>
      </c>
      <c r="I43" s="46">
        <f t="shared" ca="1" si="4"/>
        <v>17177291.00827726</v>
      </c>
      <c r="J43" s="46">
        <f>'Rate Class Customer Model'!V43</f>
        <v>14317.000000000004</v>
      </c>
      <c r="K43" s="109">
        <f>IF(C43=12,VLOOKUP(B43,'Rate Class Customer Model'!$A$32:$J$44,10,FALSE),(VLOOKUP(B43+1,'Rate Class Customer Model'!$A$32:$J$44,10,FALSE)-VLOOKUP(B43,'Rate Class Customer Model'!$A$32:$J$44,10,FALSE))/12+K42)</f>
        <v>11583.999999999996</v>
      </c>
      <c r="L43" s="152">
        <f>Economic!C43</f>
        <v>659861.19999999995</v>
      </c>
      <c r="M43" s="152">
        <f>Economic!E43</f>
        <v>146.91879159070737</v>
      </c>
      <c r="N43" s="152">
        <f>Economic!F43</f>
        <v>6865.4</v>
      </c>
      <c r="O43" s="152">
        <f>Economic!G43</f>
        <v>6912.9</v>
      </c>
      <c r="P43" s="152">
        <f>Economic!H43</f>
        <v>150.80000000000001</v>
      </c>
      <c r="Q43" s="152">
        <f>Economic!I43</f>
        <v>150.9</v>
      </c>
      <c r="R43" s="149">
        <f>Weather!C163</f>
        <v>21.35</v>
      </c>
      <c r="S43" s="150">
        <f>Weather!D163</f>
        <v>19.499999999999996</v>
      </c>
      <c r="T43" s="150">
        <f>Weather!E163</f>
        <v>59.999999999999986</v>
      </c>
      <c r="U43" s="150">
        <f>Weather!F163</f>
        <v>4.9999999999999964</v>
      </c>
      <c r="V43" s="150">
        <f>Weather!G163</f>
        <v>105.49999999999999</v>
      </c>
      <c r="W43" s="150">
        <f>Weather!H163</f>
        <v>0</v>
      </c>
      <c r="X43" s="150">
        <f>Weather!I163</f>
        <v>160.5</v>
      </c>
      <c r="Y43" s="150">
        <f>Weather!J163</f>
        <v>0</v>
      </c>
      <c r="Z43" s="150">
        <f>Weather!K163</f>
        <v>220.5</v>
      </c>
      <c r="AA43" s="150">
        <f>Weather!L163</f>
        <v>0</v>
      </c>
      <c r="AB43" s="150">
        <f>Weather!M163</f>
        <v>280.50000000000006</v>
      </c>
      <c r="AC43" s="150">
        <f>Weather!N163</f>
        <v>0</v>
      </c>
      <c r="AD43" s="150">
        <f>Weather!O163</f>
        <v>340.5</v>
      </c>
      <c r="AE43" s="150">
        <f>Weather!P163</f>
        <v>0</v>
      </c>
      <c r="AF43" s="150">
        <f>Weather!Q163</f>
        <v>400.49999999999994</v>
      </c>
      <c r="AG43" s="151">
        <f t="shared" si="16"/>
        <v>30</v>
      </c>
      <c r="AH43" s="151">
        <v>21</v>
      </c>
      <c r="AI43">
        <f t="shared" ref="AI43:AV43" si="44">AI31</f>
        <v>0</v>
      </c>
      <c r="AJ43">
        <f t="shared" si="44"/>
        <v>0</v>
      </c>
      <c r="AK43">
        <f t="shared" si="44"/>
        <v>0</v>
      </c>
      <c r="AL43">
        <f t="shared" si="44"/>
        <v>0</v>
      </c>
      <c r="AM43">
        <f t="shared" si="44"/>
        <v>0</v>
      </c>
      <c r="AN43">
        <f t="shared" si="44"/>
        <v>1</v>
      </c>
      <c r="AO43">
        <f t="shared" si="44"/>
        <v>0</v>
      </c>
      <c r="AP43">
        <f t="shared" si="44"/>
        <v>0</v>
      </c>
      <c r="AQ43">
        <f t="shared" si="44"/>
        <v>0</v>
      </c>
      <c r="AR43">
        <f t="shared" si="44"/>
        <v>0</v>
      </c>
      <c r="AS43">
        <f t="shared" si="44"/>
        <v>0</v>
      </c>
      <c r="AT43">
        <f t="shared" si="44"/>
        <v>0</v>
      </c>
      <c r="AU43">
        <f t="shared" si="44"/>
        <v>0</v>
      </c>
      <c r="AV43">
        <f t="shared" si="44"/>
        <v>0</v>
      </c>
      <c r="AW43">
        <f t="shared" si="5"/>
        <v>0</v>
      </c>
      <c r="AX43">
        <f t="shared" si="13"/>
        <v>42</v>
      </c>
      <c r="AY43" s="154">
        <v>0</v>
      </c>
      <c r="AZ43" s="154">
        <f t="shared" si="6"/>
        <v>0</v>
      </c>
      <c r="BA43" s="155">
        <f t="shared" si="7"/>
        <v>0</v>
      </c>
      <c r="BB43" s="155">
        <f t="shared" si="8"/>
        <v>0</v>
      </c>
      <c r="BC43" s="155">
        <f t="shared" si="9"/>
        <v>0</v>
      </c>
      <c r="BD43" s="155">
        <f t="shared" si="10"/>
        <v>0</v>
      </c>
      <c r="BE43" s="236">
        <f t="shared" si="11"/>
        <v>25760.25</v>
      </c>
      <c r="BF43">
        <f>X43*'Rate Class Customer Model'!O43</f>
        <v>1629636.7500000007</v>
      </c>
      <c r="BG43" s="123">
        <f t="shared" si="12"/>
        <v>1859231.9999999993</v>
      </c>
      <c r="BH43">
        <v>0</v>
      </c>
    </row>
    <row r="44" spans="1:60" x14ac:dyDescent="0.2">
      <c r="A44" s="3">
        <v>41821</v>
      </c>
      <c r="B44">
        <f t="shared" si="0"/>
        <v>2014</v>
      </c>
      <c r="C44">
        <f t="shared" si="1"/>
        <v>7</v>
      </c>
      <c r="D44" s="46">
        <f>Purchases!D104</f>
        <v>22619392.307692308</v>
      </c>
      <c r="E44" s="46">
        <f>Purchases!E104</f>
        <v>5499725.0896799993</v>
      </c>
      <c r="F44" s="46">
        <f ca="1">CDM!D60</f>
        <v>238023.9197803587</v>
      </c>
      <c r="G44" s="46">
        <f t="shared" ca="1" si="2"/>
        <v>22857416.227472667</v>
      </c>
      <c r="H44" s="46">
        <f t="shared" si="3"/>
        <v>17119667.218012311</v>
      </c>
      <c r="I44" s="46">
        <f t="shared" ca="1" si="4"/>
        <v>17357691.137792669</v>
      </c>
      <c r="J44" s="46">
        <f>'Rate Class Customer Model'!V44</f>
        <v>14325.833333333338</v>
      </c>
      <c r="K44" s="109">
        <f>IF(C44=12,VLOOKUP(B44,'Rate Class Customer Model'!$A$32:$J$44,10,FALSE),(VLOOKUP(B44+1,'Rate Class Customer Model'!$A$32:$J$44,10,FALSE)-VLOOKUP(B44,'Rate Class Customer Model'!$A$32:$J$44,10,FALSE))/12+K43)</f>
        <v>11588.166666666662</v>
      </c>
      <c r="L44" s="152">
        <f>Economic!C44</f>
        <v>659861.19999999995</v>
      </c>
      <c r="M44" s="152">
        <f>Economic!E44</f>
        <v>147.21786193010098</v>
      </c>
      <c r="N44" s="152">
        <f>Economic!F44</f>
        <v>6864.4</v>
      </c>
      <c r="O44" s="152">
        <f>Economic!G44</f>
        <v>6957.8</v>
      </c>
      <c r="P44" s="152">
        <f>Economic!H44</f>
        <v>152.1</v>
      </c>
      <c r="Q44" s="152">
        <f>Economic!I44</f>
        <v>153.6</v>
      </c>
      <c r="R44" s="149">
        <f>Weather!C164</f>
        <v>20.583870967741937</v>
      </c>
      <c r="S44" s="150">
        <f>Weather!D164</f>
        <v>24.3</v>
      </c>
      <c r="T44" s="150">
        <f>Weather!E164</f>
        <v>42.400000000000006</v>
      </c>
      <c r="U44" s="150">
        <f>Weather!F164</f>
        <v>4.4000000000000021</v>
      </c>
      <c r="V44" s="150">
        <f>Weather!G164</f>
        <v>84.5</v>
      </c>
      <c r="W44" s="150">
        <f>Weather!H164</f>
        <v>0</v>
      </c>
      <c r="X44" s="150">
        <f>Weather!I164</f>
        <v>142.1</v>
      </c>
      <c r="Y44" s="150">
        <f>Weather!J164</f>
        <v>0</v>
      </c>
      <c r="Z44" s="150">
        <f>Weather!K164</f>
        <v>204.1</v>
      </c>
      <c r="AA44" s="150">
        <f>Weather!L164</f>
        <v>0</v>
      </c>
      <c r="AB44" s="150">
        <f>Weather!M164</f>
        <v>266.09999999999997</v>
      </c>
      <c r="AC44" s="150">
        <f>Weather!N164</f>
        <v>0</v>
      </c>
      <c r="AD44" s="150">
        <f>Weather!O164</f>
        <v>328.09999999999997</v>
      </c>
      <c r="AE44" s="150">
        <f>Weather!P164</f>
        <v>0</v>
      </c>
      <c r="AF44" s="150">
        <f>Weather!Q164</f>
        <v>390.09999999999997</v>
      </c>
      <c r="AG44" s="151">
        <f t="shared" si="16"/>
        <v>31</v>
      </c>
      <c r="AH44" s="151">
        <v>22</v>
      </c>
      <c r="AI44">
        <f t="shared" ref="AI44:AV44" si="45">AI32</f>
        <v>0</v>
      </c>
      <c r="AJ44">
        <f t="shared" si="45"/>
        <v>0</v>
      </c>
      <c r="AK44">
        <f t="shared" si="45"/>
        <v>0</v>
      </c>
      <c r="AL44">
        <f t="shared" si="45"/>
        <v>0</v>
      </c>
      <c r="AM44">
        <f t="shared" si="45"/>
        <v>0</v>
      </c>
      <c r="AN44">
        <f t="shared" si="45"/>
        <v>0</v>
      </c>
      <c r="AO44">
        <f t="shared" si="45"/>
        <v>1</v>
      </c>
      <c r="AP44">
        <f t="shared" si="45"/>
        <v>0</v>
      </c>
      <c r="AQ44">
        <f t="shared" si="45"/>
        <v>0</v>
      </c>
      <c r="AR44">
        <f t="shared" si="45"/>
        <v>0</v>
      </c>
      <c r="AS44">
        <f t="shared" si="45"/>
        <v>0</v>
      </c>
      <c r="AT44">
        <f t="shared" si="45"/>
        <v>0</v>
      </c>
      <c r="AU44">
        <f t="shared" si="45"/>
        <v>0</v>
      </c>
      <c r="AV44">
        <f t="shared" si="45"/>
        <v>0</v>
      </c>
      <c r="AW44">
        <f t="shared" si="5"/>
        <v>0</v>
      </c>
      <c r="AX44">
        <f t="shared" si="13"/>
        <v>43</v>
      </c>
      <c r="AY44" s="154">
        <v>0</v>
      </c>
      <c r="AZ44" s="154">
        <f t="shared" si="6"/>
        <v>0</v>
      </c>
      <c r="BA44" s="155">
        <f t="shared" si="7"/>
        <v>0</v>
      </c>
      <c r="BB44" s="155">
        <f t="shared" si="8"/>
        <v>0</v>
      </c>
      <c r="BC44" s="155">
        <f t="shared" si="9"/>
        <v>0</v>
      </c>
      <c r="BD44" s="155">
        <f t="shared" si="10"/>
        <v>0</v>
      </c>
      <c r="BE44" s="236">
        <f t="shared" si="11"/>
        <v>20192.41</v>
      </c>
      <c r="BF44">
        <f>X44*'Rate Class Customer Model'!O44</f>
        <v>1443747.8416666673</v>
      </c>
      <c r="BG44" s="123">
        <f t="shared" si="12"/>
        <v>1646678.4833333327</v>
      </c>
      <c r="BH44">
        <v>0</v>
      </c>
    </row>
    <row r="45" spans="1:60" x14ac:dyDescent="0.2">
      <c r="A45" s="3">
        <v>41852</v>
      </c>
      <c r="B45">
        <f t="shared" si="0"/>
        <v>2014</v>
      </c>
      <c r="C45">
        <f t="shared" si="1"/>
        <v>8</v>
      </c>
      <c r="D45" s="46">
        <f>Purchases!D105</f>
        <v>23222976.923076924</v>
      </c>
      <c r="E45" s="46">
        <f>Purchases!E105</f>
        <v>5776255.4186199997</v>
      </c>
      <c r="F45" s="46">
        <f ca="1">CDM!D61</f>
        <v>243717.82031269086</v>
      </c>
      <c r="G45" s="46">
        <f t="shared" ca="1" si="2"/>
        <v>23466694.743389614</v>
      </c>
      <c r="H45" s="46">
        <f t="shared" si="3"/>
        <v>17446721.504456922</v>
      </c>
      <c r="I45" s="46">
        <f t="shared" ca="1" si="4"/>
        <v>17690439.324769616</v>
      </c>
      <c r="J45" s="46">
        <f>'Rate Class Customer Model'!V45</f>
        <v>14334.666666666672</v>
      </c>
      <c r="K45" s="109">
        <f>IF(C45=12,VLOOKUP(B45,'Rate Class Customer Model'!$A$32:$J$44,10,FALSE),(VLOOKUP(B45+1,'Rate Class Customer Model'!$A$32:$J$44,10,FALSE)-VLOOKUP(B45,'Rate Class Customer Model'!$A$32:$J$44,10,FALSE))/12+K44)</f>
        <v>11592.333333333328</v>
      </c>
      <c r="L45" s="152">
        <f>Economic!C45</f>
        <v>659861.19999999995</v>
      </c>
      <c r="M45" s="152">
        <f>Economic!E45</f>
        <v>147.51693226949459</v>
      </c>
      <c r="N45" s="152">
        <f>Economic!F45</f>
        <v>6869.9</v>
      </c>
      <c r="O45" s="152">
        <f>Economic!G45</f>
        <v>6969.7</v>
      </c>
      <c r="P45" s="152">
        <f>Economic!H45</f>
        <v>153.30000000000001</v>
      </c>
      <c r="Q45" s="152">
        <f>Economic!I45</f>
        <v>154.5</v>
      </c>
      <c r="R45" s="149">
        <f>Weather!C165</f>
        <v>20.967741935483868</v>
      </c>
      <c r="S45" s="150">
        <f>Weather!D165</f>
        <v>13.500000000000004</v>
      </c>
      <c r="T45" s="150">
        <f>Weather!E165</f>
        <v>43.500000000000007</v>
      </c>
      <c r="U45" s="150">
        <f>Weather!F165</f>
        <v>3.8000000000000007</v>
      </c>
      <c r="V45" s="150">
        <f>Weather!G165</f>
        <v>95.799999999999983</v>
      </c>
      <c r="W45" s="150">
        <f>Weather!H165</f>
        <v>0</v>
      </c>
      <c r="X45" s="150">
        <f>Weather!I165</f>
        <v>154</v>
      </c>
      <c r="Y45" s="150">
        <f>Weather!J165</f>
        <v>0</v>
      </c>
      <c r="Z45" s="150">
        <f>Weather!K165</f>
        <v>216.00000000000003</v>
      </c>
      <c r="AA45" s="150">
        <f>Weather!L165</f>
        <v>0</v>
      </c>
      <c r="AB45" s="150">
        <f>Weather!M165</f>
        <v>278.00000000000006</v>
      </c>
      <c r="AC45" s="150">
        <f>Weather!N165</f>
        <v>0</v>
      </c>
      <c r="AD45" s="150">
        <f>Weather!O165</f>
        <v>340</v>
      </c>
      <c r="AE45" s="150">
        <f>Weather!P165</f>
        <v>0</v>
      </c>
      <c r="AF45" s="150">
        <f>Weather!Q165</f>
        <v>401.99999999999994</v>
      </c>
      <c r="AG45" s="151">
        <f t="shared" si="16"/>
        <v>31</v>
      </c>
      <c r="AH45" s="151">
        <v>20</v>
      </c>
      <c r="AI45">
        <f t="shared" ref="AI45:AV45" si="46">AI33</f>
        <v>0</v>
      </c>
      <c r="AJ45">
        <f t="shared" si="46"/>
        <v>0</v>
      </c>
      <c r="AK45">
        <f t="shared" si="46"/>
        <v>0</v>
      </c>
      <c r="AL45">
        <f t="shared" si="46"/>
        <v>0</v>
      </c>
      <c r="AM45">
        <f t="shared" si="46"/>
        <v>0</v>
      </c>
      <c r="AN45">
        <f t="shared" si="46"/>
        <v>0</v>
      </c>
      <c r="AO45">
        <f t="shared" si="46"/>
        <v>0</v>
      </c>
      <c r="AP45">
        <f t="shared" si="46"/>
        <v>1</v>
      </c>
      <c r="AQ45">
        <f t="shared" si="46"/>
        <v>0</v>
      </c>
      <c r="AR45">
        <f t="shared" si="46"/>
        <v>0</v>
      </c>
      <c r="AS45">
        <f t="shared" si="46"/>
        <v>0</v>
      </c>
      <c r="AT45">
        <f t="shared" si="46"/>
        <v>0</v>
      </c>
      <c r="AU45">
        <f t="shared" si="46"/>
        <v>0</v>
      </c>
      <c r="AV45">
        <f t="shared" si="46"/>
        <v>0</v>
      </c>
      <c r="AW45">
        <f t="shared" si="5"/>
        <v>0</v>
      </c>
      <c r="AX45">
        <f t="shared" si="13"/>
        <v>44</v>
      </c>
      <c r="AY45" s="154">
        <v>0</v>
      </c>
      <c r="AZ45" s="154">
        <f t="shared" si="6"/>
        <v>0</v>
      </c>
      <c r="BA45" s="155">
        <f t="shared" si="7"/>
        <v>0</v>
      </c>
      <c r="BB45" s="155">
        <f t="shared" si="8"/>
        <v>0</v>
      </c>
      <c r="BC45" s="155">
        <f t="shared" si="9"/>
        <v>0</v>
      </c>
      <c r="BD45" s="155">
        <f t="shared" si="10"/>
        <v>0</v>
      </c>
      <c r="BE45" s="236">
        <f t="shared" si="11"/>
        <v>23716</v>
      </c>
      <c r="BF45">
        <f>X45*'Rate Class Customer Model'!O45</f>
        <v>1565666.6666666674</v>
      </c>
      <c r="BG45" s="123">
        <f t="shared" si="12"/>
        <v>1785219.3333333326</v>
      </c>
      <c r="BH45">
        <v>0</v>
      </c>
    </row>
    <row r="46" spans="1:60" x14ac:dyDescent="0.2">
      <c r="A46" s="3">
        <v>41883</v>
      </c>
      <c r="B46">
        <f t="shared" si="0"/>
        <v>2014</v>
      </c>
      <c r="C46">
        <f t="shared" si="1"/>
        <v>9</v>
      </c>
      <c r="D46" s="46">
        <f>Purchases!D106</f>
        <v>19789369.230769232</v>
      </c>
      <c r="E46" s="46">
        <f>Purchases!E106</f>
        <v>5942311.7742699999</v>
      </c>
      <c r="F46" s="46">
        <f ca="1">CDM!D62</f>
        <v>249411.72084502305</v>
      </c>
      <c r="G46" s="46">
        <f t="shared" ca="1" si="2"/>
        <v>20038780.951614253</v>
      </c>
      <c r="H46" s="46">
        <f t="shared" si="3"/>
        <v>13847057.456499232</v>
      </c>
      <c r="I46" s="46">
        <f t="shared" ca="1" si="4"/>
        <v>14096469.177344253</v>
      </c>
      <c r="J46" s="46">
        <f>'Rate Class Customer Model'!V46</f>
        <v>14343.500000000005</v>
      </c>
      <c r="K46" s="109">
        <f>IF(C46=12,VLOOKUP(B46,'Rate Class Customer Model'!$A$32:$J$44,10,FALSE),(VLOOKUP(B46+1,'Rate Class Customer Model'!$A$32:$J$44,10,FALSE)-VLOOKUP(B46,'Rate Class Customer Model'!$A$32:$J$44,10,FALSE))/12+K45)</f>
        <v>11596.499999999995</v>
      </c>
      <c r="L46" s="152">
        <f>Economic!C46</f>
        <v>659861.19999999995</v>
      </c>
      <c r="M46" s="152">
        <f>Economic!E46</f>
        <v>147.8160026088882</v>
      </c>
      <c r="N46" s="152">
        <f>Economic!F46</f>
        <v>6884.5</v>
      </c>
      <c r="O46" s="152">
        <f>Economic!G46</f>
        <v>6944.1</v>
      </c>
      <c r="P46" s="152">
        <f>Economic!H46</f>
        <v>155.30000000000001</v>
      </c>
      <c r="Q46" s="152">
        <f>Economic!I46</f>
        <v>156.6</v>
      </c>
      <c r="R46" s="149">
        <f>Weather!C166</f>
        <v>16.433333333333334</v>
      </c>
      <c r="S46" s="150">
        <f>Weather!D166</f>
        <v>122.29999999999998</v>
      </c>
      <c r="T46" s="150">
        <f>Weather!E166</f>
        <v>15.299999999999997</v>
      </c>
      <c r="U46" s="150">
        <f>Weather!F166</f>
        <v>76.799999999999983</v>
      </c>
      <c r="V46" s="150">
        <f>Weather!G166</f>
        <v>29.799999999999997</v>
      </c>
      <c r="W46" s="150">
        <f>Weather!H166</f>
        <v>41.7</v>
      </c>
      <c r="X46" s="150">
        <f>Weather!I166</f>
        <v>54.7</v>
      </c>
      <c r="Y46" s="150">
        <f>Weather!J166</f>
        <v>19.5</v>
      </c>
      <c r="Z46" s="150">
        <f>Weather!K166</f>
        <v>92.5</v>
      </c>
      <c r="AA46" s="150">
        <f>Weather!L166</f>
        <v>5.6000000000000014</v>
      </c>
      <c r="AB46" s="150">
        <f>Weather!M166</f>
        <v>138.6</v>
      </c>
      <c r="AC46" s="150">
        <f>Weather!N166</f>
        <v>0.30000000000000071</v>
      </c>
      <c r="AD46" s="150">
        <f>Weather!O166</f>
        <v>193.3</v>
      </c>
      <c r="AE46" s="150">
        <f>Weather!P166</f>
        <v>0</v>
      </c>
      <c r="AF46" s="150">
        <f>Weather!Q166</f>
        <v>252.99999999999994</v>
      </c>
      <c r="AG46" s="151">
        <f t="shared" si="16"/>
        <v>30</v>
      </c>
      <c r="AH46" s="151">
        <v>21</v>
      </c>
      <c r="AI46">
        <f t="shared" ref="AI46:AV46" si="47">AI34</f>
        <v>0</v>
      </c>
      <c r="AJ46">
        <f t="shared" si="47"/>
        <v>0</v>
      </c>
      <c r="AK46">
        <f t="shared" si="47"/>
        <v>0</v>
      </c>
      <c r="AL46">
        <f t="shared" si="47"/>
        <v>0</v>
      </c>
      <c r="AM46">
        <f t="shared" si="47"/>
        <v>0</v>
      </c>
      <c r="AN46">
        <f t="shared" si="47"/>
        <v>0</v>
      </c>
      <c r="AO46">
        <f t="shared" si="47"/>
        <v>0</v>
      </c>
      <c r="AP46">
        <f t="shared" si="47"/>
        <v>0</v>
      </c>
      <c r="AQ46">
        <f t="shared" si="47"/>
        <v>1</v>
      </c>
      <c r="AR46">
        <f t="shared" si="47"/>
        <v>0</v>
      </c>
      <c r="AS46">
        <f t="shared" si="47"/>
        <v>0</v>
      </c>
      <c r="AT46">
        <f t="shared" si="47"/>
        <v>0</v>
      </c>
      <c r="AU46">
        <f t="shared" si="47"/>
        <v>0</v>
      </c>
      <c r="AV46">
        <f t="shared" si="47"/>
        <v>1</v>
      </c>
      <c r="AW46">
        <f t="shared" si="5"/>
        <v>1</v>
      </c>
      <c r="AX46">
        <f t="shared" si="13"/>
        <v>45</v>
      </c>
      <c r="AY46" s="154">
        <v>0</v>
      </c>
      <c r="AZ46" s="154">
        <f t="shared" si="6"/>
        <v>0</v>
      </c>
      <c r="BA46" s="155">
        <f t="shared" si="7"/>
        <v>0</v>
      </c>
      <c r="BB46" s="155">
        <f t="shared" si="8"/>
        <v>0</v>
      </c>
      <c r="BC46" s="155">
        <f t="shared" si="9"/>
        <v>0</v>
      </c>
      <c r="BD46" s="155">
        <f t="shared" si="10"/>
        <v>0</v>
      </c>
      <c r="BE46" s="236">
        <f t="shared" si="11"/>
        <v>2992.09</v>
      </c>
      <c r="BF46">
        <f>X46*'Rate Class Customer Model'!O46</f>
        <v>556476.77500000037</v>
      </c>
      <c r="BG46" s="123">
        <f t="shared" si="12"/>
        <v>634328.5499999997</v>
      </c>
      <c r="BH46">
        <v>0</v>
      </c>
    </row>
    <row r="47" spans="1:60" x14ac:dyDescent="0.2">
      <c r="A47" s="3">
        <v>41913</v>
      </c>
      <c r="B47">
        <f t="shared" si="0"/>
        <v>2014</v>
      </c>
      <c r="C47">
        <f t="shared" si="1"/>
        <v>10</v>
      </c>
      <c r="D47" s="46">
        <f>Purchases!D107</f>
        <v>18224553.846153844</v>
      </c>
      <c r="E47" s="46">
        <f>Purchases!E107</f>
        <v>4937879.0150799993</v>
      </c>
      <c r="F47" s="46">
        <f ca="1">CDM!D63</f>
        <v>255105.62137735522</v>
      </c>
      <c r="G47" s="46">
        <f t="shared" ca="1" si="2"/>
        <v>18479659.4675312</v>
      </c>
      <c r="H47" s="46">
        <f t="shared" si="3"/>
        <v>13286674.831073845</v>
      </c>
      <c r="I47" s="46">
        <f t="shared" ca="1" si="4"/>
        <v>13541780.452451201</v>
      </c>
      <c r="J47" s="46">
        <f>'Rate Class Customer Model'!V47</f>
        <v>14352.333333333339</v>
      </c>
      <c r="K47" s="109">
        <f>IF(C47=12,VLOOKUP(B47,'Rate Class Customer Model'!$A$32:$J$44,10,FALSE),(VLOOKUP(B47+1,'Rate Class Customer Model'!$A$32:$J$44,10,FALSE)-VLOOKUP(B47,'Rate Class Customer Model'!$A$32:$J$44,10,FALSE))/12+K46)</f>
        <v>11600.666666666661</v>
      </c>
      <c r="L47" s="152">
        <f>Economic!C47</f>
        <v>659861.19999999995</v>
      </c>
      <c r="M47" s="152">
        <f>Economic!E47</f>
        <v>148.11507294828181</v>
      </c>
      <c r="N47" s="152">
        <f>Economic!F47</f>
        <v>6901.5</v>
      </c>
      <c r="O47" s="152">
        <f>Economic!G47</f>
        <v>6936.6</v>
      </c>
      <c r="P47" s="152">
        <f>Economic!H47</f>
        <v>156.9</v>
      </c>
      <c r="Q47" s="152">
        <f>Economic!I47</f>
        <v>158.30000000000001</v>
      </c>
      <c r="R47" s="149">
        <f>Weather!C167</f>
        <v>10.929032258064517</v>
      </c>
      <c r="S47" s="150">
        <f>Weather!D167</f>
        <v>281.2</v>
      </c>
      <c r="T47" s="150">
        <f>Weather!E167</f>
        <v>0</v>
      </c>
      <c r="U47" s="150">
        <f>Weather!F167</f>
        <v>219.2</v>
      </c>
      <c r="V47" s="150">
        <f>Weather!G167</f>
        <v>0</v>
      </c>
      <c r="W47" s="150">
        <f>Weather!H167</f>
        <v>159.9</v>
      </c>
      <c r="X47" s="150">
        <f>Weather!I167</f>
        <v>2.6999999999999993</v>
      </c>
      <c r="Y47" s="150">
        <f>Weather!J167</f>
        <v>107.70000000000003</v>
      </c>
      <c r="Z47" s="150">
        <f>Weather!K167</f>
        <v>12.499999999999998</v>
      </c>
      <c r="AA47" s="150">
        <f>Weather!L167</f>
        <v>65.399999999999991</v>
      </c>
      <c r="AB47" s="150">
        <f>Weather!M167</f>
        <v>32.199999999999996</v>
      </c>
      <c r="AC47" s="150">
        <f>Weather!N167</f>
        <v>29.6</v>
      </c>
      <c r="AD47" s="150">
        <f>Weather!O167</f>
        <v>58.400000000000006</v>
      </c>
      <c r="AE47" s="150">
        <f>Weather!P167</f>
        <v>7.5</v>
      </c>
      <c r="AF47" s="150">
        <f>Weather!Q167</f>
        <v>98.299999999999983</v>
      </c>
      <c r="AG47" s="151">
        <f t="shared" si="16"/>
        <v>31</v>
      </c>
      <c r="AH47" s="151">
        <v>22</v>
      </c>
      <c r="AI47">
        <f t="shared" ref="AI47:AV47" si="48">AI35</f>
        <v>0</v>
      </c>
      <c r="AJ47">
        <f t="shared" si="48"/>
        <v>0</v>
      </c>
      <c r="AK47">
        <f t="shared" si="48"/>
        <v>0</v>
      </c>
      <c r="AL47">
        <f t="shared" si="48"/>
        <v>0</v>
      </c>
      <c r="AM47">
        <f t="shared" si="48"/>
        <v>0</v>
      </c>
      <c r="AN47">
        <f t="shared" si="48"/>
        <v>0</v>
      </c>
      <c r="AO47">
        <f t="shared" si="48"/>
        <v>0</v>
      </c>
      <c r="AP47">
        <f t="shared" si="48"/>
        <v>0</v>
      </c>
      <c r="AQ47">
        <f t="shared" si="48"/>
        <v>0</v>
      </c>
      <c r="AR47">
        <f t="shared" si="48"/>
        <v>1</v>
      </c>
      <c r="AS47">
        <f t="shared" si="48"/>
        <v>0</v>
      </c>
      <c r="AT47">
        <f t="shared" si="48"/>
        <v>0</v>
      </c>
      <c r="AU47">
        <f t="shared" si="48"/>
        <v>0</v>
      </c>
      <c r="AV47">
        <f t="shared" si="48"/>
        <v>1</v>
      </c>
      <c r="AW47">
        <f t="shared" si="5"/>
        <v>1</v>
      </c>
      <c r="AX47">
        <f t="shared" si="13"/>
        <v>46</v>
      </c>
      <c r="AY47" s="154">
        <v>0</v>
      </c>
      <c r="AZ47" s="154">
        <f t="shared" si="6"/>
        <v>0</v>
      </c>
      <c r="BA47" s="155">
        <f t="shared" si="7"/>
        <v>0</v>
      </c>
      <c r="BB47" s="155">
        <f t="shared" si="8"/>
        <v>0</v>
      </c>
      <c r="BC47" s="155">
        <f t="shared" si="9"/>
        <v>0</v>
      </c>
      <c r="BD47" s="155">
        <f t="shared" si="10"/>
        <v>0</v>
      </c>
      <c r="BE47" s="236">
        <f t="shared" si="11"/>
        <v>7.2899999999999965</v>
      </c>
      <c r="BF47">
        <f>X47*'Rate Class Customer Model'!O47</f>
        <v>27485.55000000001</v>
      </c>
      <c r="BG47" s="123">
        <f t="shared" si="12"/>
        <v>31321.799999999974</v>
      </c>
      <c r="BH47">
        <v>0</v>
      </c>
    </row>
    <row r="48" spans="1:60" x14ac:dyDescent="0.2">
      <c r="A48" s="3">
        <v>41944</v>
      </c>
      <c r="B48">
        <f t="shared" si="0"/>
        <v>2014</v>
      </c>
      <c r="C48">
        <f t="shared" si="1"/>
        <v>11</v>
      </c>
      <c r="D48" s="46">
        <f>Purchases!D108</f>
        <v>20282892.307692308</v>
      </c>
      <c r="E48" s="46">
        <f>Purchases!E108</f>
        <v>4763007.1476699999</v>
      </c>
      <c r="F48" s="46">
        <f ca="1">CDM!D64</f>
        <v>260799.52190968738</v>
      </c>
      <c r="G48" s="46">
        <f t="shared" ca="1" si="2"/>
        <v>20543691.829601996</v>
      </c>
      <c r="H48" s="46">
        <f t="shared" si="3"/>
        <v>15519885.160022307</v>
      </c>
      <c r="I48" s="46">
        <f t="shared" ca="1" si="4"/>
        <v>15780684.681931995</v>
      </c>
      <c r="J48" s="46">
        <f>'Rate Class Customer Model'!V48</f>
        <v>14361.166666666673</v>
      </c>
      <c r="K48" s="109">
        <f>IF(C48=12,VLOOKUP(B48,'Rate Class Customer Model'!$A$32:$J$44,10,FALSE),(VLOOKUP(B48+1,'Rate Class Customer Model'!$A$32:$J$44,10,FALSE)-VLOOKUP(B48,'Rate Class Customer Model'!$A$32:$J$44,10,FALSE))/12+K47)</f>
        <v>11604.833333333327</v>
      </c>
      <c r="L48" s="152">
        <f>Economic!C48</f>
        <v>659861.19999999995</v>
      </c>
      <c r="M48" s="152">
        <f>Economic!E48</f>
        <v>148.41414328767499</v>
      </c>
      <c r="N48" s="152">
        <f>Economic!F48</f>
        <v>6907.5</v>
      </c>
      <c r="O48" s="152">
        <f>Economic!G48</f>
        <v>6914.3</v>
      </c>
      <c r="P48" s="152">
        <f>Economic!H48</f>
        <v>157.9</v>
      </c>
      <c r="Q48" s="152">
        <f>Economic!I48</f>
        <v>159.30000000000001</v>
      </c>
      <c r="R48" s="149">
        <f>Weather!C168</f>
        <v>2.023333333333333</v>
      </c>
      <c r="S48" s="150">
        <f>Weather!D168</f>
        <v>539.30000000000007</v>
      </c>
      <c r="T48" s="150">
        <f>Weather!E168</f>
        <v>0</v>
      </c>
      <c r="U48" s="150">
        <f>Weather!F168</f>
        <v>479.30000000000013</v>
      </c>
      <c r="V48" s="150">
        <f>Weather!G168</f>
        <v>0</v>
      </c>
      <c r="W48" s="150">
        <f>Weather!H168</f>
        <v>419.30000000000007</v>
      </c>
      <c r="X48" s="150">
        <f>Weather!I168</f>
        <v>0</v>
      </c>
      <c r="Y48" s="150">
        <f>Weather!J168</f>
        <v>359.30000000000007</v>
      </c>
      <c r="Z48" s="150">
        <f>Weather!K168</f>
        <v>0</v>
      </c>
      <c r="AA48" s="150">
        <f>Weather!L168</f>
        <v>299.3</v>
      </c>
      <c r="AB48" s="150">
        <f>Weather!M168</f>
        <v>0</v>
      </c>
      <c r="AC48" s="150">
        <f>Weather!N168</f>
        <v>239.9</v>
      </c>
      <c r="AD48" s="150">
        <f>Weather!O168</f>
        <v>0.59999999999999964</v>
      </c>
      <c r="AE48" s="150">
        <f>Weather!P168</f>
        <v>189.4</v>
      </c>
      <c r="AF48" s="150">
        <f>Weather!Q168</f>
        <v>10.099999999999998</v>
      </c>
      <c r="AG48" s="151">
        <f t="shared" si="16"/>
        <v>30</v>
      </c>
      <c r="AH48" s="151">
        <v>20</v>
      </c>
      <c r="AI48">
        <f t="shared" ref="AI48:AV48" si="49">AI36</f>
        <v>0</v>
      </c>
      <c r="AJ48">
        <f t="shared" si="49"/>
        <v>0</v>
      </c>
      <c r="AK48">
        <f t="shared" si="49"/>
        <v>0</v>
      </c>
      <c r="AL48">
        <f t="shared" si="49"/>
        <v>0</v>
      </c>
      <c r="AM48">
        <f t="shared" si="49"/>
        <v>0</v>
      </c>
      <c r="AN48">
        <f t="shared" si="49"/>
        <v>0</v>
      </c>
      <c r="AO48">
        <f t="shared" si="49"/>
        <v>0</v>
      </c>
      <c r="AP48">
        <f t="shared" si="49"/>
        <v>0</v>
      </c>
      <c r="AQ48">
        <f t="shared" si="49"/>
        <v>0</v>
      </c>
      <c r="AR48">
        <f t="shared" si="49"/>
        <v>0</v>
      </c>
      <c r="AS48">
        <f t="shared" si="49"/>
        <v>1</v>
      </c>
      <c r="AT48">
        <f t="shared" si="49"/>
        <v>0</v>
      </c>
      <c r="AU48">
        <f t="shared" si="49"/>
        <v>0</v>
      </c>
      <c r="AV48">
        <f t="shared" si="49"/>
        <v>1</v>
      </c>
      <c r="AW48">
        <f t="shared" si="5"/>
        <v>1</v>
      </c>
      <c r="AX48">
        <f t="shared" si="13"/>
        <v>47</v>
      </c>
      <c r="AY48" s="154">
        <v>0</v>
      </c>
      <c r="AZ48" s="154">
        <f t="shared" si="6"/>
        <v>0</v>
      </c>
      <c r="BA48" s="155">
        <f t="shared" si="7"/>
        <v>0</v>
      </c>
      <c r="BB48" s="155">
        <f t="shared" si="8"/>
        <v>0</v>
      </c>
      <c r="BC48" s="155">
        <f t="shared" si="9"/>
        <v>0</v>
      </c>
      <c r="BD48" s="155">
        <f t="shared" si="10"/>
        <v>0</v>
      </c>
      <c r="BE48" s="236">
        <f t="shared" si="11"/>
        <v>0</v>
      </c>
      <c r="BF48">
        <f>X48*'Rate Class Customer Model'!O48</f>
        <v>0</v>
      </c>
      <c r="BG48" s="123">
        <f t="shared" si="12"/>
        <v>0</v>
      </c>
      <c r="BH48">
        <v>0</v>
      </c>
    </row>
    <row r="49" spans="1:60" x14ac:dyDescent="0.2">
      <c r="A49" s="3">
        <v>41974</v>
      </c>
      <c r="B49">
        <f t="shared" si="0"/>
        <v>2014</v>
      </c>
      <c r="C49">
        <f t="shared" si="1"/>
        <v>12</v>
      </c>
      <c r="D49" s="46">
        <f>Purchases!D109</f>
        <v>22057292.307692308</v>
      </c>
      <c r="E49" s="46">
        <f>Purchases!E109</f>
        <v>5830346.3885199996</v>
      </c>
      <c r="F49" s="46">
        <f ca="1">CDM!D65</f>
        <v>266493.42244201957</v>
      </c>
      <c r="G49" s="46">
        <f t="shared" ca="1" si="2"/>
        <v>22323785.730134327</v>
      </c>
      <c r="H49" s="46">
        <f t="shared" si="3"/>
        <v>16226945.919172309</v>
      </c>
      <c r="I49" s="46">
        <f t="shared" ca="1" si="4"/>
        <v>16493439.341614328</v>
      </c>
      <c r="J49" s="46">
        <f>'Rate Class Customer Model'!V49</f>
        <v>14370</v>
      </c>
      <c r="K49" s="109">
        <f>IF(C49=12,VLOOKUP(B49,'Rate Class Customer Model'!$A$32:$J$44,10,FALSE),(VLOOKUP(B49+1,'Rate Class Customer Model'!$A$32:$J$44,10,FALSE)-VLOOKUP(B49,'Rate Class Customer Model'!$A$32:$J$44,10,FALSE))/12+K48)</f>
        <v>11656</v>
      </c>
      <c r="L49" s="152">
        <f>Economic!C49</f>
        <v>659861.19999999995</v>
      </c>
      <c r="M49" s="152">
        <f>Economic!E49</f>
        <v>148.71321362706902</v>
      </c>
      <c r="N49" s="152">
        <f>Economic!F49</f>
        <v>6903.1</v>
      </c>
      <c r="O49" s="152">
        <f>Economic!G49</f>
        <v>6903.2</v>
      </c>
      <c r="P49" s="152">
        <f>Economic!H49</f>
        <v>159.9</v>
      </c>
      <c r="Q49" s="152">
        <f>Economic!I49</f>
        <v>161.1</v>
      </c>
      <c r="R49" s="149">
        <f>Weather!C169</f>
        <v>0.41290322580645139</v>
      </c>
      <c r="S49" s="150">
        <f>Weather!D169</f>
        <v>607.20000000000005</v>
      </c>
      <c r="T49" s="150">
        <f>Weather!E169</f>
        <v>0</v>
      </c>
      <c r="U49" s="150">
        <f>Weather!F169</f>
        <v>545.20000000000005</v>
      </c>
      <c r="V49" s="150">
        <f>Weather!G169</f>
        <v>0</v>
      </c>
      <c r="W49" s="150">
        <f>Weather!H169</f>
        <v>483.2</v>
      </c>
      <c r="X49" s="150">
        <f>Weather!I169</f>
        <v>0</v>
      </c>
      <c r="Y49" s="150">
        <f>Weather!J169</f>
        <v>421.2</v>
      </c>
      <c r="Z49" s="150">
        <f>Weather!K169</f>
        <v>0</v>
      </c>
      <c r="AA49" s="150">
        <f>Weather!L169</f>
        <v>359.19999999999993</v>
      </c>
      <c r="AB49" s="150">
        <f>Weather!M169</f>
        <v>0</v>
      </c>
      <c r="AC49" s="150">
        <f>Weather!N169</f>
        <v>297.20000000000005</v>
      </c>
      <c r="AD49" s="150">
        <f>Weather!O169</f>
        <v>0</v>
      </c>
      <c r="AE49" s="150">
        <f>Weather!P169</f>
        <v>235.70000000000002</v>
      </c>
      <c r="AF49" s="150">
        <f>Weather!Q169</f>
        <v>0.5</v>
      </c>
      <c r="AG49" s="151">
        <f t="shared" si="16"/>
        <v>31</v>
      </c>
      <c r="AH49" s="151">
        <v>21</v>
      </c>
      <c r="AI49">
        <f t="shared" ref="AI49:AV49" si="50">AI37</f>
        <v>0</v>
      </c>
      <c r="AJ49">
        <f t="shared" si="50"/>
        <v>0</v>
      </c>
      <c r="AK49">
        <f t="shared" si="50"/>
        <v>0</v>
      </c>
      <c r="AL49">
        <f t="shared" si="50"/>
        <v>0</v>
      </c>
      <c r="AM49">
        <f t="shared" si="50"/>
        <v>0</v>
      </c>
      <c r="AN49">
        <f t="shared" si="50"/>
        <v>0</v>
      </c>
      <c r="AO49">
        <f t="shared" si="50"/>
        <v>0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0"/>
        <v>0</v>
      </c>
      <c r="AT49">
        <f t="shared" si="50"/>
        <v>1</v>
      </c>
      <c r="AU49">
        <f t="shared" si="50"/>
        <v>0</v>
      </c>
      <c r="AV49">
        <f t="shared" si="50"/>
        <v>0</v>
      </c>
      <c r="AW49">
        <f t="shared" si="5"/>
        <v>0</v>
      </c>
      <c r="AX49">
        <f t="shared" si="13"/>
        <v>48</v>
      </c>
      <c r="AY49" s="154">
        <v>0</v>
      </c>
      <c r="AZ49" s="154">
        <f t="shared" si="6"/>
        <v>0</v>
      </c>
      <c r="BA49" s="155">
        <f t="shared" si="7"/>
        <v>0</v>
      </c>
      <c r="BB49" s="155">
        <f t="shared" si="8"/>
        <v>0</v>
      </c>
      <c r="BC49" s="155">
        <f t="shared" si="9"/>
        <v>0</v>
      </c>
      <c r="BD49" s="155">
        <f t="shared" si="10"/>
        <v>0</v>
      </c>
      <c r="BE49" s="236">
        <f t="shared" si="11"/>
        <v>0</v>
      </c>
      <c r="BF49">
        <f>X49*'Rate Class Customer Model'!O49</f>
        <v>0</v>
      </c>
      <c r="BG49" s="123">
        <f t="shared" si="12"/>
        <v>0</v>
      </c>
      <c r="BH49">
        <v>0</v>
      </c>
    </row>
    <row r="50" spans="1:60" x14ac:dyDescent="0.2">
      <c r="A50" s="3">
        <v>42005</v>
      </c>
      <c r="B50">
        <f t="shared" si="0"/>
        <v>2015</v>
      </c>
      <c r="C50">
        <f t="shared" si="1"/>
        <v>1</v>
      </c>
      <c r="D50" s="46">
        <f>Purchases!D110</f>
        <v>24198407.692307692</v>
      </c>
      <c r="E50" s="46">
        <f>Purchases!E110</f>
        <v>6302302.4270000001</v>
      </c>
      <c r="F50" s="46">
        <f ca="1">CDM!D66</f>
        <v>292317.35638691939</v>
      </c>
      <c r="G50" s="46">
        <f t="shared" ca="1" si="2"/>
        <v>24490725.048694611</v>
      </c>
      <c r="H50" s="46">
        <f t="shared" si="3"/>
        <v>17896105.265307691</v>
      </c>
      <c r="I50" s="46">
        <f t="shared" ca="1" si="4"/>
        <v>18188422.62169461</v>
      </c>
      <c r="J50" s="46">
        <f>'Rate Class Customer Model'!V50</f>
        <v>14374.916666666666</v>
      </c>
      <c r="K50" s="109">
        <f>IF(C50=12,VLOOKUP(B50,'Rate Class Customer Model'!$A$32:$J$44,10,FALSE),(VLOOKUP(B50+1,'Rate Class Customer Model'!$A$32:$J$44,10,FALSE)-VLOOKUP(B50,'Rate Class Customer Model'!$A$32:$J$44,10,FALSE))/12+K49)</f>
        <v>11663.166666666666</v>
      </c>
      <c r="L50" s="152">
        <f>Economic!C50</f>
        <v>677384</v>
      </c>
      <c r="M50" s="152">
        <f>Economic!E50</f>
        <v>149.04230706618222</v>
      </c>
      <c r="N50" s="152">
        <f>Economic!F50</f>
        <v>6885.7</v>
      </c>
      <c r="O50" s="152">
        <f>Economic!G50</f>
        <v>6845.1</v>
      </c>
      <c r="P50" s="152">
        <f>Economic!H50</f>
        <v>160.4</v>
      </c>
      <c r="Q50" s="152">
        <f>Economic!I50</f>
        <v>159.30000000000001</v>
      </c>
      <c r="R50" s="149">
        <f>Weather!C170</f>
        <v>-6.7387096774193527</v>
      </c>
      <c r="S50" s="150">
        <f>Weather!D170</f>
        <v>828.90000000000009</v>
      </c>
      <c r="T50" s="150">
        <f>Weather!E170</f>
        <v>0</v>
      </c>
      <c r="U50" s="150">
        <f>Weather!F170</f>
        <v>766.90000000000009</v>
      </c>
      <c r="V50" s="150">
        <f>Weather!G170</f>
        <v>0</v>
      </c>
      <c r="W50" s="150">
        <f>Weather!H170</f>
        <v>704.90000000000009</v>
      </c>
      <c r="X50" s="150">
        <f>Weather!I170</f>
        <v>0</v>
      </c>
      <c r="Y50" s="150">
        <f>Weather!J170</f>
        <v>642.9</v>
      </c>
      <c r="Z50" s="150">
        <f>Weather!K170</f>
        <v>0</v>
      </c>
      <c r="AA50" s="150">
        <f>Weather!L170</f>
        <v>580.89999999999986</v>
      </c>
      <c r="AB50" s="150">
        <f>Weather!M170</f>
        <v>0</v>
      </c>
      <c r="AC50" s="150">
        <f>Weather!N170</f>
        <v>518.9</v>
      </c>
      <c r="AD50" s="150">
        <f>Weather!O170</f>
        <v>0</v>
      </c>
      <c r="AE50" s="150">
        <f>Weather!P170</f>
        <v>456.9</v>
      </c>
      <c r="AF50" s="150">
        <f>Weather!Q170</f>
        <v>0</v>
      </c>
      <c r="AG50" s="151">
        <f>AG2</f>
        <v>31</v>
      </c>
      <c r="AH50" s="151">
        <v>21</v>
      </c>
      <c r="AI50">
        <f t="shared" ref="AI50:AV50" si="51">AI38</f>
        <v>1</v>
      </c>
      <c r="AJ50">
        <f t="shared" si="51"/>
        <v>0</v>
      </c>
      <c r="AK50">
        <f t="shared" si="51"/>
        <v>0</v>
      </c>
      <c r="AL50">
        <f t="shared" si="51"/>
        <v>0</v>
      </c>
      <c r="AM50">
        <f t="shared" si="51"/>
        <v>0</v>
      </c>
      <c r="AN50">
        <f t="shared" si="51"/>
        <v>0</v>
      </c>
      <c r="AO50">
        <f t="shared" si="51"/>
        <v>0</v>
      </c>
      <c r="AP50">
        <f t="shared" si="51"/>
        <v>0</v>
      </c>
      <c r="AQ50">
        <f t="shared" si="51"/>
        <v>0</v>
      </c>
      <c r="AR50">
        <f t="shared" si="51"/>
        <v>0</v>
      </c>
      <c r="AS50">
        <f t="shared" si="51"/>
        <v>0</v>
      </c>
      <c r="AT50">
        <f t="shared" si="51"/>
        <v>0</v>
      </c>
      <c r="AU50">
        <f t="shared" si="51"/>
        <v>0</v>
      </c>
      <c r="AV50">
        <f t="shared" si="51"/>
        <v>0</v>
      </c>
      <c r="AW50">
        <f t="shared" si="5"/>
        <v>0</v>
      </c>
      <c r="AX50">
        <f t="shared" si="13"/>
        <v>49</v>
      </c>
      <c r="AY50" s="154">
        <v>0</v>
      </c>
      <c r="AZ50" s="154">
        <f t="shared" si="6"/>
        <v>0</v>
      </c>
      <c r="BA50" s="155">
        <f t="shared" si="7"/>
        <v>0</v>
      </c>
      <c r="BB50" s="155">
        <f t="shared" si="8"/>
        <v>0</v>
      </c>
      <c r="BC50" s="155">
        <f t="shared" si="9"/>
        <v>0</v>
      </c>
      <c r="BD50" s="155">
        <f t="shared" si="10"/>
        <v>0</v>
      </c>
      <c r="BE50" s="236">
        <f t="shared" si="11"/>
        <v>0</v>
      </c>
      <c r="BF50">
        <f>X50*'Rate Class Customer Model'!O50</f>
        <v>0</v>
      </c>
      <c r="BG50" s="123">
        <f t="shared" si="12"/>
        <v>0</v>
      </c>
      <c r="BH50">
        <v>0</v>
      </c>
    </row>
    <row r="51" spans="1:60" x14ac:dyDescent="0.2">
      <c r="A51" s="3">
        <v>42036</v>
      </c>
      <c r="B51">
        <f t="shared" si="0"/>
        <v>2015</v>
      </c>
      <c r="C51">
        <f t="shared" si="1"/>
        <v>2</v>
      </c>
      <c r="D51" s="46">
        <f>Purchases!D111</f>
        <v>22363023.07692308</v>
      </c>
      <c r="E51" s="46">
        <f>Purchases!E111</f>
        <v>7035744.3120299997</v>
      </c>
      <c r="F51" s="46">
        <f ca="1">CDM!D67</f>
        <v>305441.31464606267</v>
      </c>
      <c r="G51" s="46">
        <f t="shared" ca="1" si="2"/>
        <v>22668464.391569141</v>
      </c>
      <c r="H51" s="46">
        <f t="shared" si="3"/>
        <v>15327278.764893081</v>
      </c>
      <c r="I51" s="46">
        <f t="shared" ca="1" si="4"/>
        <v>15632720.079539143</v>
      </c>
      <c r="J51" s="46">
        <f>'Rate Class Customer Model'!V51</f>
        <v>14379.833333333332</v>
      </c>
      <c r="K51" s="109">
        <f>IF(C51=12,VLOOKUP(B51,'Rate Class Customer Model'!$A$32:$J$44,10,FALSE),(VLOOKUP(B51+1,'Rate Class Customer Model'!$A$32:$J$44,10,FALSE)-VLOOKUP(B51,'Rate Class Customer Model'!$A$32:$J$44,10,FALSE))/12+K50)</f>
        <v>11670.333333333332</v>
      </c>
      <c r="L51" s="152">
        <f>Economic!C51</f>
        <v>677384</v>
      </c>
      <c r="M51" s="152">
        <f>Economic!E51</f>
        <v>149.37140050529541</v>
      </c>
      <c r="N51" s="152">
        <f>Economic!F51</f>
        <v>6885.3</v>
      </c>
      <c r="O51" s="152">
        <f>Economic!G51</f>
        <v>6810.3</v>
      </c>
      <c r="P51" s="152">
        <f>Economic!H51</f>
        <v>161.69999999999999</v>
      </c>
      <c r="Q51" s="152">
        <f>Economic!I51</f>
        <v>159.1</v>
      </c>
      <c r="R51" s="149">
        <f>Weather!C171</f>
        <v>-10.967857142857142</v>
      </c>
      <c r="S51" s="150">
        <f>Weather!D171</f>
        <v>867.10000000000025</v>
      </c>
      <c r="T51" s="150">
        <f>Weather!E171</f>
        <v>0</v>
      </c>
      <c r="U51" s="150">
        <f>Weather!F171</f>
        <v>811.10000000000014</v>
      </c>
      <c r="V51" s="150">
        <f>Weather!G171</f>
        <v>0</v>
      </c>
      <c r="W51" s="150">
        <f>Weather!H171</f>
        <v>755.10000000000014</v>
      </c>
      <c r="X51" s="150">
        <f>Weather!I171</f>
        <v>0</v>
      </c>
      <c r="Y51" s="150">
        <f>Weather!J171</f>
        <v>699.10000000000014</v>
      </c>
      <c r="Z51" s="150">
        <f>Weather!K171</f>
        <v>0</v>
      </c>
      <c r="AA51" s="150">
        <f>Weather!L171</f>
        <v>643.10000000000014</v>
      </c>
      <c r="AB51" s="150">
        <f>Weather!M171</f>
        <v>0</v>
      </c>
      <c r="AC51" s="150">
        <f>Weather!N171</f>
        <v>587.1</v>
      </c>
      <c r="AD51" s="150">
        <f>Weather!O171</f>
        <v>0</v>
      </c>
      <c r="AE51" s="150">
        <f>Weather!P171</f>
        <v>531.09999999999991</v>
      </c>
      <c r="AF51" s="150">
        <f>Weather!Q171</f>
        <v>0</v>
      </c>
      <c r="AG51" s="151">
        <f t="shared" ref="AG51:AG114" si="52">AG3</f>
        <v>28</v>
      </c>
      <c r="AH51" s="151">
        <v>19</v>
      </c>
      <c r="AI51">
        <f t="shared" ref="AI51:AV51" si="53">AI39</f>
        <v>0</v>
      </c>
      <c r="AJ51">
        <f t="shared" si="53"/>
        <v>1</v>
      </c>
      <c r="AK51">
        <f t="shared" si="53"/>
        <v>0</v>
      </c>
      <c r="AL51">
        <f t="shared" si="53"/>
        <v>0</v>
      </c>
      <c r="AM51">
        <f t="shared" si="53"/>
        <v>0</v>
      </c>
      <c r="AN51">
        <f t="shared" si="53"/>
        <v>0</v>
      </c>
      <c r="AO51">
        <f t="shared" si="53"/>
        <v>0</v>
      </c>
      <c r="AP51">
        <f t="shared" si="53"/>
        <v>0</v>
      </c>
      <c r="AQ51">
        <f t="shared" si="53"/>
        <v>0</v>
      </c>
      <c r="AR51">
        <f t="shared" si="53"/>
        <v>0</v>
      </c>
      <c r="AS51">
        <f t="shared" si="53"/>
        <v>0</v>
      </c>
      <c r="AT51">
        <f t="shared" si="53"/>
        <v>0</v>
      </c>
      <c r="AU51">
        <f t="shared" si="53"/>
        <v>0</v>
      </c>
      <c r="AV51">
        <f t="shared" si="53"/>
        <v>0</v>
      </c>
      <c r="AW51">
        <f t="shared" si="5"/>
        <v>0</v>
      </c>
      <c r="AX51">
        <f t="shared" si="13"/>
        <v>50</v>
      </c>
      <c r="AY51" s="154">
        <v>0</v>
      </c>
      <c r="AZ51" s="154">
        <f t="shared" si="6"/>
        <v>0</v>
      </c>
      <c r="BA51" s="155">
        <f t="shared" si="7"/>
        <v>0</v>
      </c>
      <c r="BB51" s="155">
        <f t="shared" si="8"/>
        <v>0</v>
      </c>
      <c r="BC51" s="155">
        <f t="shared" si="9"/>
        <v>0</v>
      </c>
      <c r="BD51" s="155">
        <f t="shared" si="10"/>
        <v>0</v>
      </c>
      <c r="BE51" s="236">
        <f t="shared" si="11"/>
        <v>0</v>
      </c>
      <c r="BF51">
        <f>X51*'Rate Class Customer Model'!O51</f>
        <v>0</v>
      </c>
      <c r="BG51" s="123">
        <f t="shared" si="12"/>
        <v>0</v>
      </c>
      <c r="BH51">
        <v>0</v>
      </c>
    </row>
    <row r="52" spans="1:60" x14ac:dyDescent="0.2">
      <c r="A52" s="3">
        <v>42064</v>
      </c>
      <c r="B52">
        <f t="shared" si="0"/>
        <v>2015</v>
      </c>
      <c r="C52">
        <f t="shared" si="1"/>
        <v>3</v>
      </c>
      <c r="D52" s="46">
        <f>Purchases!D112</f>
        <v>20856446.153846156</v>
      </c>
      <c r="E52" s="46">
        <f>Purchases!E112</f>
        <v>6572816.4936800003</v>
      </c>
      <c r="F52" s="46">
        <f ca="1">CDM!D68</f>
        <v>318565.27290520596</v>
      </c>
      <c r="G52" s="46">
        <f t="shared" ca="1" si="2"/>
        <v>21175011.42675136</v>
      </c>
      <c r="H52" s="46">
        <f t="shared" si="3"/>
        <v>14283629.660166156</v>
      </c>
      <c r="I52" s="46">
        <f t="shared" ca="1" si="4"/>
        <v>14602194.93307136</v>
      </c>
      <c r="J52" s="46">
        <f>'Rate Class Customer Model'!V52</f>
        <v>14384.749999999998</v>
      </c>
      <c r="K52" s="109">
        <f>IF(C52=12,VLOOKUP(B52,'Rate Class Customer Model'!$A$32:$J$44,10,FALSE),(VLOOKUP(B52+1,'Rate Class Customer Model'!$A$32:$J$44,10,FALSE)-VLOOKUP(B52,'Rate Class Customer Model'!$A$32:$J$44,10,FALSE))/12+K51)</f>
        <v>11677.499999999998</v>
      </c>
      <c r="L52" s="152">
        <f>Economic!C52</f>
        <v>677384</v>
      </c>
      <c r="M52" s="152">
        <f>Economic!E52</f>
        <v>149.70049394440861</v>
      </c>
      <c r="N52" s="152">
        <f>Economic!F52</f>
        <v>6892.1</v>
      </c>
      <c r="O52" s="152">
        <f>Economic!G52</f>
        <v>6783.7</v>
      </c>
      <c r="P52" s="152">
        <f>Economic!H52</f>
        <v>160.5</v>
      </c>
      <c r="Q52" s="152">
        <f>Economic!I52</f>
        <v>156.1</v>
      </c>
      <c r="R52" s="149">
        <f>Weather!C172</f>
        <v>-0.2354838709677417</v>
      </c>
      <c r="S52" s="150">
        <f>Weather!D172</f>
        <v>627.29999999999995</v>
      </c>
      <c r="T52" s="150">
        <f>Weather!E172</f>
        <v>0</v>
      </c>
      <c r="U52" s="150">
        <f>Weather!F172</f>
        <v>565.29999999999995</v>
      </c>
      <c r="V52" s="150">
        <f>Weather!G172</f>
        <v>0</v>
      </c>
      <c r="W52" s="150">
        <f>Weather!H172</f>
        <v>503.3</v>
      </c>
      <c r="X52" s="150">
        <f>Weather!I172</f>
        <v>0</v>
      </c>
      <c r="Y52" s="150">
        <f>Weather!J172</f>
        <v>441.3</v>
      </c>
      <c r="Z52" s="150">
        <f>Weather!K172</f>
        <v>0</v>
      </c>
      <c r="AA52" s="150">
        <f>Weather!L172</f>
        <v>379.29999999999995</v>
      </c>
      <c r="AB52" s="150">
        <f>Weather!M172</f>
        <v>0</v>
      </c>
      <c r="AC52" s="150">
        <f>Weather!N172</f>
        <v>317.29999999999995</v>
      </c>
      <c r="AD52" s="150">
        <f>Weather!O172</f>
        <v>0</v>
      </c>
      <c r="AE52" s="150">
        <f>Weather!P172</f>
        <v>255.70000000000002</v>
      </c>
      <c r="AF52" s="150">
        <f>Weather!Q172</f>
        <v>0.40000000000000036</v>
      </c>
      <c r="AG52" s="151">
        <f t="shared" si="52"/>
        <v>31</v>
      </c>
      <c r="AH52" s="151">
        <v>22</v>
      </c>
      <c r="AI52">
        <f t="shared" ref="AI52:AV52" si="54">AI40</f>
        <v>0</v>
      </c>
      <c r="AJ52">
        <f t="shared" si="54"/>
        <v>0</v>
      </c>
      <c r="AK52">
        <f t="shared" si="54"/>
        <v>1</v>
      </c>
      <c r="AL52">
        <f t="shared" si="54"/>
        <v>0</v>
      </c>
      <c r="AM52">
        <f t="shared" si="54"/>
        <v>0</v>
      </c>
      <c r="AN52">
        <f t="shared" si="54"/>
        <v>0</v>
      </c>
      <c r="AO52">
        <f t="shared" si="54"/>
        <v>0</v>
      </c>
      <c r="AP52">
        <f t="shared" si="54"/>
        <v>0</v>
      </c>
      <c r="AQ52">
        <f t="shared" si="54"/>
        <v>0</v>
      </c>
      <c r="AR52">
        <f t="shared" si="54"/>
        <v>0</v>
      </c>
      <c r="AS52">
        <f t="shared" si="54"/>
        <v>0</v>
      </c>
      <c r="AT52">
        <f t="shared" si="54"/>
        <v>0</v>
      </c>
      <c r="AU52">
        <f t="shared" si="54"/>
        <v>1</v>
      </c>
      <c r="AV52">
        <f t="shared" si="54"/>
        <v>0</v>
      </c>
      <c r="AW52">
        <f t="shared" si="5"/>
        <v>1</v>
      </c>
      <c r="AX52">
        <f t="shared" si="13"/>
        <v>51</v>
      </c>
      <c r="AY52" s="154">
        <v>0</v>
      </c>
      <c r="AZ52" s="154">
        <f t="shared" si="6"/>
        <v>0</v>
      </c>
      <c r="BA52" s="155">
        <f t="shared" si="7"/>
        <v>0</v>
      </c>
      <c r="BB52" s="155">
        <f t="shared" si="8"/>
        <v>0</v>
      </c>
      <c r="BC52" s="155">
        <f t="shared" si="9"/>
        <v>0</v>
      </c>
      <c r="BD52" s="155">
        <f t="shared" si="10"/>
        <v>0</v>
      </c>
      <c r="BE52" s="236">
        <f t="shared" si="11"/>
        <v>0</v>
      </c>
      <c r="BF52">
        <f>X52*'Rate Class Customer Model'!O52</f>
        <v>0</v>
      </c>
      <c r="BG52" s="123">
        <f t="shared" si="12"/>
        <v>0</v>
      </c>
      <c r="BH52">
        <v>0</v>
      </c>
    </row>
    <row r="53" spans="1:60" x14ac:dyDescent="0.2">
      <c r="A53" s="3">
        <v>42095</v>
      </c>
      <c r="B53">
        <f t="shared" si="0"/>
        <v>2015</v>
      </c>
      <c r="C53">
        <f t="shared" si="1"/>
        <v>4</v>
      </c>
      <c r="D53" s="46">
        <f>Purchases!D113</f>
        <v>17544146.153846156</v>
      </c>
      <c r="E53" s="46">
        <f>Purchases!E113</f>
        <v>5776693.9478900004</v>
      </c>
      <c r="F53" s="46">
        <f ca="1">CDM!D69</f>
        <v>331689.23116434924</v>
      </c>
      <c r="G53" s="46">
        <f t="shared" ca="1" si="2"/>
        <v>17875835.385010503</v>
      </c>
      <c r="H53" s="46">
        <f t="shared" si="3"/>
        <v>11767452.205956155</v>
      </c>
      <c r="I53" s="46">
        <f t="shared" ca="1" si="4"/>
        <v>12099141.437120503</v>
      </c>
      <c r="J53" s="46">
        <f>'Rate Class Customer Model'!V53</f>
        <v>14389.666666666664</v>
      </c>
      <c r="K53" s="109">
        <f>IF(C53=12,VLOOKUP(B53,'Rate Class Customer Model'!$A$32:$J$44,10,FALSE),(VLOOKUP(B53+1,'Rate Class Customer Model'!$A$32:$J$44,10,FALSE)-VLOOKUP(B53,'Rate Class Customer Model'!$A$32:$J$44,10,FALSE))/12+K52)</f>
        <v>11684.666666666664</v>
      </c>
      <c r="L53" s="152">
        <f>Economic!C53</f>
        <v>677384</v>
      </c>
      <c r="M53" s="152">
        <f>Economic!E53</f>
        <v>150.0295873835218</v>
      </c>
      <c r="N53" s="152">
        <f>Economic!F53</f>
        <v>6897.3</v>
      </c>
      <c r="O53" s="152">
        <f>Economic!G53</f>
        <v>6805.6</v>
      </c>
      <c r="P53" s="152">
        <f>Economic!H53</f>
        <v>160.19999999999999</v>
      </c>
      <c r="Q53" s="152">
        <f>Economic!I53</f>
        <v>156.4</v>
      </c>
      <c r="R53" s="149">
        <f>Weather!C173</f>
        <v>8.5599999999999987</v>
      </c>
      <c r="S53" s="150">
        <f>Weather!D173</f>
        <v>343.20000000000005</v>
      </c>
      <c r="T53" s="150">
        <f>Weather!E173</f>
        <v>0</v>
      </c>
      <c r="U53" s="150">
        <f>Weather!F173</f>
        <v>283.2</v>
      </c>
      <c r="V53" s="150">
        <f>Weather!G173</f>
        <v>0</v>
      </c>
      <c r="W53" s="150">
        <f>Weather!H173</f>
        <v>223.19999999999996</v>
      </c>
      <c r="X53" s="150">
        <f>Weather!I173</f>
        <v>0</v>
      </c>
      <c r="Y53" s="150">
        <f>Weather!J173</f>
        <v>164.10000000000002</v>
      </c>
      <c r="Z53" s="150">
        <f>Weather!K173</f>
        <v>0.90000000000000036</v>
      </c>
      <c r="AA53" s="150">
        <f>Weather!L173</f>
        <v>110.19999999999997</v>
      </c>
      <c r="AB53" s="150">
        <f>Weather!M173</f>
        <v>7</v>
      </c>
      <c r="AC53" s="150">
        <f>Weather!N173</f>
        <v>62</v>
      </c>
      <c r="AD53" s="150">
        <f>Weather!O173</f>
        <v>18.8</v>
      </c>
      <c r="AE53" s="150">
        <f>Weather!P173</f>
        <v>29.799999999999997</v>
      </c>
      <c r="AF53" s="150">
        <f>Weather!Q173</f>
        <v>46.599999999999994</v>
      </c>
      <c r="AG53" s="151">
        <f t="shared" si="52"/>
        <v>30</v>
      </c>
      <c r="AH53" s="151">
        <v>20</v>
      </c>
      <c r="AI53">
        <f t="shared" ref="AI53:AV53" si="55">AI41</f>
        <v>0</v>
      </c>
      <c r="AJ53">
        <f t="shared" si="55"/>
        <v>0</v>
      </c>
      <c r="AK53">
        <f t="shared" si="55"/>
        <v>0</v>
      </c>
      <c r="AL53">
        <f t="shared" si="55"/>
        <v>1</v>
      </c>
      <c r="AM53">
        <f t="shared" si="55"/>
        <v>0</v>
      </c>
      <c r="AN53">
        <f t="shared" si="55"/>
        <v>0</v>
      </c>
      <c r="AO53">
        <f t="shared" si="55"/>
        <v>0</v>
      </c>
      <c r="AP53">
        <f t="shared" si="55"/>
        <v>0</v>
      </c>
      <c r="AQ53">
        <f t="shared" si="55"/>
        <v>0</v>
      </c>
      <c r="AR53">
        <f t="shared" si="55"/>
        <v>0</v>
      </c>
      <c r="AS53">
        <f t="shared" si="55"/>
        <v>0</v>
      </c>
      <c r="AT53">
        <f t="shared" si="55"/>
        <v>0</v>
      </c>
      <c r="AU53">
        <f t="shared" si="55"/>
        <v>1</v>
      </c>
      <c r="AV53">
        <f t="shared" si="55"/>
        <v>0</v>
      </c>
      <c r="AW53">
        <f t="shared" si="5"/>
        <v>1</v>
      </c>
      <c r="AX53">
        <f t="shared" si="13"/>
        <v>52</v>
      </c>
      <c r="AY53" s="154">
        <v>0</v>
      </c>
      <c r="AZ53" s="154">
        <f t="shared" si="6"/>
        <v>0</v>
      </c>
      <c r="BA53" s="155">
        <f t="shared" si="7"/>
        <v>0</v>
      </c>
      <c r="BB53" s="155">
        <f t="shared" si="8"/>
        <v>0</v>
      </c>
      <c r="BC53" s="155">
        <f t="shared" si="9"/>
        <v>0</v>
      </c>
      <c r="BD53" s="155">
        <f t="shared" si="10"/>
        <v>0</v>
      </c>
      <c r="BE53" s="236">
        <f t="shared" si="11"/>
        <v>0</v>
      </c>
      <c r="BF53">
        <f>X53*'Rate Class Customer Model'!O53</f>
        <v>0</v>
      </c>
      <c r="BG53" s="123">
        <f t="shared" si="12"/>
        <v>0</v>
      </c>
      <c r="BH53">
        <v>0</v>
      </c>
    </row>
    <row r="54" spans="1:60" x14ac:dyDescent="0.2">
      <c r="A54" s="3">
        <v>42125</v>
      </c>
      <c r="B54">
        <f t="shared" si="0"/>
        <v>2015</v>
      </c>
      <c r="C54">
        <f t="shared" si="1"/>
        <v>5</v>
      </c>
      <c r="D54" s="46">
        <f>Purchases!D114</f>
        <v>17949553.846153844</v>
      </c>
      <c r="E54" s="46">
        <f>Purchases!E114</f>
        <v>4635765.9455300011</v>
      </c>
      <c r="F54" s="46">
        <f ca="1">CDM!D70</f>
        <v>344813.18942349253</v>
      </c>
      <c r="G54" s="46">
        <f t="shared" ca="1" si="2"/>
        <v>18294367.035577338</v>
      </c>
      <c r="H54" s="46">
        <f t="shared" si="3"/>
        <v>13313787.900623843</v>
      </c>
      <c r="I54" s="46">
        <f t="shared" ca="1" si="4"/>
        <v>13658601.090047337</v>
      </c>
      <c r="J54" s="46">
        <f>'Rate Class Customer Model'!V54</f>
        <v>14394.58333333333</v>
      </c>
      <c r="K54" s="109">
        <f>IF(C54=12,VLOOKUP(B54,'Rate Class Customer Model'!$A$32:$J$44,10,FALSE),(VLOOKUP(B54+1,'Rate Class Customer Model'!$A$32:$J$44,10,FALSE)-VLOOKUP(B54,'Rate Class Customer Model'!$A$32:$J$44,10,FALSE))/12+K53)</f>
        <v>11691.83333333333</v>
      </c>
      <c r="L54" s="152">
        <f>Economic!C54</f>
        <v>677384</v>
      </c>
      <c r="M54" s="152">
        <f>Economic!E54</f>
        <v>150.35868082263499</v>
      </c>
      <c r="N54" s="152">
        <f>Economic!F54</f>
        <v>6906.5</v>
      </c>
      <c r="O54" s="152">
        <f>Economic!G54</f>
        <v>6870.9</v>
      </c>
      <c r="P54" s="152">
        <f>Economic!H54</f>
        <v>160.80000000000001</v>
      </c>
      <c r="Q54" s="152">
        <f>Economic!I54</f>
        <v>159.1</v>
      </c>
      <c r="R54" s="149">
        <f>Weather!C174</f>
        <v>16.758064516129032</v>
      </c>
      <c r="S54" s="150">
        <f>Weather!D174</f>
        <v>118.3</v>
      </c>
      <c r="T54" s="150">
        <f>Weather!E174</f>
        <v>17.799999999999997</v>
      </c>
      <c r="U54" s="150">
        <f>Weather!F174</f>
        <v>79.599999999999994</v>
      </c>
      <c r="V54" s="150">
        <f>Weather!G174</f>
        <v>41.099999999999994</v>
      </c>
      <c r="W54" s="150">
        <f>Weather!H174</f>
        <v>50.9</v>
      </c>
      <c r="X54" s="150">
        <f>Weather!I174</f>
        <v>74.399999999999991</v>
      </c>
      <c r="Y54" s="150">
        <f>Weather!J174</f>
        <v>27.5</v>
      </c>
      <c r="Z54" s="150">
        <f>Weather!K174</f>
        <v>112.99999999999999</v>
      </c>
      <c r="AA54" s="150">
        <f>Weather!L174</f>
        <v>12.199999999999998</v>
      </c>
      <c r="AB54" s="150">
        <f>Weather!M174</f>
        <v>159.69999999999999</v>
      </c>
      <c r="AC54" s="150">
        <f>Weather!N174</f>
        <v>2.6999999999999975</v>
      </c>
      <c r="AD54" s="150">
        <f>Weather!O174</f>
        <v>212.20000000000002</v>
      </c>
      <c r="AE54" s="150">
        <f>Weather!P174</f>
        <v>0</v>
      </c>
      <c r="AF54" s="150">
        <f>Weather!Q174</f>
        <v>271.5</v>
      </c>
      <c r="AG54" s="151">
        <f t="shared" si="52"/>
        <v>31</v>
      </c>
      <c r="AH54" s="151">
        <v>20</v>
      </c>
      <c r="AI54">
        <f t="shared" ref="AI54:AV54" si="56">AI42</f>
        <v>0</v>
      </c>
      <c r="AJ54">
        <f t="shared" si="56"/>
        <v>0</v>
      </c>
      <c r="AK54">
        <f t="shared" si="56"/>
        <v>0</v>
      </c>
      <c r="AL54">
        <f t="shared" si="56"/>
        <v>0</v>
      </c>
      <c r="AM54">
        <f t="shared" si="56"/>
        <v>1</v>
      </c>
      <c r="AN54">
        <f t="shared" si="56"/>
        <v>0</v>
      </c>
      <c r="AO54">
        <f t="shared" si="56"/>
        <v>0</v>
      </c>
      <c r="AP54">
        <f t="shared" si="56"/>
        <v>0</v>
      </c>
      <c r="AQ54">
        <f t="shared" si="56"/>
        <v>0</v>
      </c>
      <c r="AR54">
        <f t="shared" si="56"/>
        <v>0</v>
      </c>
      <c r="AS54">
        <f t="shared" si="56"/>
        <v>0</v>
      </c>
      <c r="AT54">
        <f t="shared" si="56"/>
        <v>0</v>
      </c>
      <c r="AU54">
        <f t="shared" si="56"/>
        <v>1</v>
      </c>
      <c r="AV54">
        <f t="shared" si="56"/>
        <v>0</v>
      </c>
      <c r="AW54">
        <f t="shared" si="5"/>
        <v>1</v>
      </c>
      <c r="AX54">
        <f t="shared" si="13"/>
        <v>53</v>
      </c>
      <c r="AY54" s="154">
        <v>0</v>
      </c>
      <c r="AZ54" s="154">
        <f t="shared" si="6"/>
        <v>0</v>
      </c>
      <c r="BA54" s="155">
        <f t="shared" si="7"/>
        <v>0</v>
      </c>
      <c r="BB54" s="155">
        <f t="shared" si="8"/>
        <v>0</v>
      </c>
      <c r="BC54" s="155">
        <f t="shared" si="9"/>
        <v>0</v>
      </c>
      <c r="BD54" s="155">
        <f t="shared" si="10"/>
        <v>0</v>
      </c>
      <c r="BE54" s="236">
        <f t="shared" si="11"/>
        <v>5535.3599999999988</v>
      </c>
      <c r="BF54">
        <f>X54*'Rate Class Customer Model'!O54</f>
        <v>759878.20000000019</v>
      </c>
      <c r="BG54" s="123">
        <f t="shared" si="12"/>
        <v>869872.39999999967</v>
      </c>
      <c r="BH54">
        <v>0</v>
      </c>
    </row>
    <row r="55" spans="1:60" x14ac:dyDescent="0.2">
      <c r="A55" s="3">
        <v>42156</v>
      </c>
      <c r="B55">
        <f t="shared" si="0"/>
        <v>2015</v>
      </c>
      <c r="C55">
        <f t="shared" si="1"/>
        <v>6</v>
      </c>
      <c r="D55" s="46">
        <f>Purchases!D115</f>
        <v>20138192.307692308</v>
      </c>
      <c r="E55" s="46">
        <f>Purchases!E115</f>
        <v>4475709.7344300002</v>
      </c>
      <c r="F55" s="46">
        <f ca="1">CDM!D71</f>
        <v>357937.14768263581</v>
      </c>
      <c r="G55" s="46">
        <f t="shared" ca="1" si="2"/>
        <v>20496129.455374945</v>
      </c>
      <c r="H55" s="46">
        <f t="shared" si="3"/>
        <v>15662482.573262308</v>
      </c>
      <c r="I55" s="46">
        <f t="shared" ca="1" si="4"/>
        <v>16020419.720944945</v>
      </c>
      <c r="J55" s="46">
        <f>'Rate Class Customer Model'!V55</f>
        <v>14399.499999999996</v>
      </c>
      <c r="K55" s="109">
        <f>IF(C55=12,VLOOKUP(B55,'Rate Class Customer Model'!$A$32:$J$44,10,FALSE),(VLOOKUP(B55+1,'Rate Class Customer Model'!$A$32:$J$44,10,FALSE)-VLOOKUP(B55,'Rate Class Customer Model'!$A$32:$J$44,10,FALSE))/12+K54)</f>
        <v>11698.999999999996</v>
      </c>
      <c r="L55" s="152">
        <f>Economic!C55</f>
        <v>677384</v>
      </c>
      <c r="M55" s="152">
        <f>Economic!E55</f>
        <v>150.68777426174819</v>
      </c>
      <c r="N55" s="152">
        <f>Economic!F55</f>
        <v>6921.3</v>
      </c>
      <c r="O55" s="152">
        <f>Economic!G55</f>
        <v>6965.8</v>
      </c>
      <c r="P55" s="152">
        <f>Economic!H55</f>
        <v>163</v>
      </c>
      <c r="Q55" s="152">
        <f>Economic!I55</f>
        <v>163.9</v>
      </c>
      <c r="R55" s="149">
        <f>Weather!C175</f>
        <v>19.5</v>
      </c>
      <c r="S55" s="150">
        <f>Weather!D175</f>
        <v>41.29999999999999</v>
      </c>
      <c r="T55" s="150">
        <f>Weather!E175</f>
        <v>26.300000000000008</v>
      </c>
      <c r="U55" s="150">
        <f>Weather!F175</f>
        <v>18.900000000000002</v>
      </c>
      <c r="V55" s="150">
        <f>Weather!G175</f>
        <v>63.900000000000006</v>
      </c>
      <c r="W55" s="150">
        <f>Weather!H175</f>
        <v>7.9</v>
      </c>
      <c r="X55" s="150">
        <f>Weather!I175</f>
        <v>112.89999999999998</v>
      </c>
      <c r="Y55" s="150">
        <f>Weather!J175</f>
        <v>2.7000000000000011</v>
      </c>
      <c r="Z55" s="150">
        <f>Weather!K175</f>
        <v>167.7</v>
      </c>
      <c r="AA55" s="150">
        <f>Weather!L175</f>
        <v>0.40000000000000036</v>
      </c>
      <c r="AB55" s="150">
        <f>Weather!M175</f>
        <v>225.4</v>
      </c>
      <c r="AC55" s="150">
        <f>Weather!N175</f>
        <v>0</v>
      </c>
      <c r="AD55" s="150">
        <f>Weather!O175</f>
        <v>285</v>
      </c>
      <c r="AE55" s="150">
        <f>Weather!P175</f>
        <v>0</v>
      </c>
      <c r="AF55" s="150">
        <f>Weather!Q175</f>
        <v>345</v>
      </c>
      <c r="AG55" s="151">
        <f t="shared" si="52"/>
        <v>30</v>
      </c>
      <c r="AH55" s="151">
        <v>22</v>
      </c>
      <c r="AI55">
        <f t="shared" ref="AI55:AV55" si="57">AI43</f>
        <v>0</v>
      </c>
      <c r="AJ55">
        <f t="shared" si="57"/>
        <v>0</v>
      </c>
      <c r="AK55">
        <f t="shared" si="57"/>
        <v>0</v>
      </c>
      <c r="AL55">
        <f t="shared" si="57"/>
        <v>0</v>
      </c>
      <c r="AM55">
        <f t="shared" si="57"/>
        <v>0</v>
      </c>
      <c r="AN55">
        <f t="shared" si="57"/>
        <v>1</v>
      </c>
      <c r="AO55">
        <f t="shared" si="57"/>
        <v>0</v>
      </c>
      <c r="AP55">
        <f t="shared" si="57"/>
        <v>0</v>
      </c>
      <c r="AQ55">
        <f t="shared" si="57"/>
        <v>0</v>
      </c>
      <c r="AR55">
        <f t="shared" si="57"/>
        <v>0</v>
      </c>
      <c r="AS55">
        <f t="shared" si="57"/>
        <v>0</v>
      </c>
      <c r="AT55">
        <f t="shared" si="57"/>
        <v>0</v>
      </c>
      <c r="AU55">
        <f t="shared" si="57"/>
        <v>0</v>
      </c>
      <c r="AV55">
        <f t="shared" si="57"/>
        <v>0</v>
      </c>
      <c r="AW55">
        <f t="shared" si="5"/>
        <v>0</v>
      </c>
      <c r="AX55">
        <f t="shared" si="13"/>
        <v>54</v>
      </c>
      <c r="AY55" s="154">
        <v>0</v>
      </c>
      <c r="AZ55" s="154">
        <f t="shared" si="6"/>
        <v>0</v>
      </c>
      <c r="BA55" s="155">
        <f t="shared" si="7"/>
        <v>0</v>
      </c>
      <c r="BB55" s="155">
        <f t="shared" si="8"/>
        <v>0</v>
      </c>
      <c r="BC55" s="155">
        <f t="shared" si="9"/>
        <v>0</v>
      </c>
      <c r="BD55" s="155">
        <f t="shared" si="10"/>
        <v>0</v>
      </c>
      <c r="BE55" s="236">
        <f t="shared" si="11"/>
        <v>12746.409999999994</v>
      </c>
      <c r="BF55">
        <f>X55*'Rate Class Customer Model'!O55</f>
        <v>1153555.7500000002</v>
      </c>
      <c r="BG55" s="123">
        <f t="shared" si="12"/>
        <v>1320817.0999999994</v>
      </c>
      <c r="BH55">
        <v>0</v>
      </c>
    </row>
    <row r="56" spans="1:60" x14ac:dyDescent="0.2">
      <c r="A56" s="3">
        <v>42186</v>
      </c>
      <c r="B56">
        <f t="shared" si="0"/>
        <v>2015</v>
      </c>
      <c r="C56">
        <f t="shared" si="1"/>
        <v>7</v>
      </c>
      <c r="D56" s="46">
        <f>Purchases!D116</f>
        <v>23747715.384615384</v>
      </c>
      <c r="E56" s="46">
        <f>Purchases!E116</f>
        <v>5049557.6763899997</v>
      </c>
      <c r="F56" s="46">
        <f ca="1">CDM!D72</f>
        <v>371061.1059417791</v>
      </c>
      <c r="G56" s="46">
        <f t="shared" ca="1" si="2"/>
        <v>24118776.490557164</v>
      </c>
      <c r="H56" s="46">
        <f t="shared" si="3"/>
        <v>18698157.708225384</v>
      </c>
      <c r="I56" s="46">
        <f t="shared" ca="1" si="4"/>
        <v>19069218.814167164</v>
      </c>
      <c r="J56" s="46">
        <f>'Rate Class Customer Model'!V56</f>
        <v>14404.416666666662</v>
      </c>
      <c r="K56" s="109">
        <f>IF(C56=12,VLOOKUP(B56,'Rate Class Customer Model'!$A$32:$J$44,10,FALSE),(VLOOKUP(B56+1,'Rate Class Customer Model'!$A$32:$J$44,10,FALSE)-VLOOKUP(B56,'Rate Class Customer Model'!$A$32:$J$44,10,FALSE))/12+K55)</f>
        <v>11706.166666666662</v>
      </c>
      <c r="L56" s="152">
        <f>Economic!C56</f>
        <v>677384</v>
      </c>
      <c r="M56" s="152">
        <f>Economic!E56</f>
        <v>151.01686770086138</v>
      </c>
      <c r="N56" s="152">
        <f>Economic!F56</f>
        <v>6941.2</v>
      </c>
      <c r="O56" s="152">
        <f>Economic!G56</f>
        <v>7032.3</v>
      </c>
      <c r="P56" s="152">
        <f>Economic!H56</f>
        <v>162.19999999999999</v>
      </c>
      <c r="Q56" s="152">
        <f>Economic!I56</f>
        <v>164.8</v>
      </c>
      <c r="R56" s="149">
        <f>Weather!C176</f>
        <v>21.793548387096774</v>
      </c>
      <c r="S56" s="150">
        <f>Weather!D176</f>
        <v>15.199999999999996</v>
      </c>
      <c r="T56" s="150">
        <f>Weather!E176</f>
        <v>70.799999999999983</v>
      </c>
      <c r="U56" s="150">
        <f>Weather!F176</f>
        <v>2.8999999999999986</v>
      </c>
      <c r="V56" s="150">
        <f>Weather!G176</f>
        <v>120.49999999999997</v>
      </c>
      <c r="W56" s="150">
        <f>Weather!H176</f>
        <v>0.19999999999999929</v>
      </c>
      <c r="X56" s="150">
        <f>Weather!I176</f>
        <v>179.79999999999998</v>
      </c>
      <c r="Y56" s="150">
        <f>Weather!J176</f>
        <v>0</v>
      </c>
      <c r="Z56" s="150">
        <f>Weather!K176</f>
        <v>241.60000000000002</v>
      </c>
      <c r="AA56" s="150">
        <f>Weather!L176</f>
        <v>0</v>
      </c>
      <c r="AB56" s="150">
        <f>Weather!M176</f>
        <v>303.60000000000002</v>
      </c>
      <c r="AC56" s="150">
        <f>Weather!N176</f>
        <v>0</v>
      </c>
      <c r="AD56" s="150">
        <f>Weather!O176</f>
        <v>365.59999999999997</v>
      </c>
      <c r="AE56" s="150">
        <f>Weather!P176</f>
        <v>0</v>
      </c>
      <c r="AF56" s="150">
        <f>Weather!Q176</f>
        <v>427.59999999999997</v>
      </c>
      <c r="AG56" s="151">
        <f t="shared" si="52"/>
        <v>31</v>
      </c>
      <c r="AH56" s="151">
        <v>22</v>
      </c>
      <c r="AI56">
        <f t="shared" ref="AI56:AV56" si="58">AI44</f>
        <v>0</v>
      </c>
      <c r="AJ56">
        <f t="shared" si="58"/>
        <v>0</v>
      </c>
      <c r="AK56">
        <f t="shared" si="58"/>
        <v>0</v>
      </c>
      <c r="AL56">
        <f t="shared" si="58"/>
        <v>0</v>
      </c>
      <c r="AM56">
        <f t="shared" si="58"/>
        <v>0</v>
      </c>
      <c r="AN56">
        <f t="shared" si="58"/>
        <v>0</v>
      </c>
      <c r="AO56">
        <f t="shared" si="58"/>
        <v>1</v>
      </c>
      <c r="AP56">
        <f t="shared" si="58"/>
        <v>0</v>
      </c>
      <c r="AQ56">
        <f t="shared" si="58"/>
        <v>0</v>
      </c>
      <c r="AR56">
        <f t="shared" si="58"/>
        <v>0</v>
      </c>
      <c r="AS56">
        <f t="shared" si="58"/>
        <v>0</v>
      </c>
      <c r="AT56">
        <f t="shared" si="58"/>
        <v>0</v>
      </c>
      <c r="AU56">
        <f t="shared" si="58"/>
        <v>0</v>
      </c>
      <c r="AV56">
        <f t="shared" si="58"/>
        <v>0</v>
      </c>
      <c r="AW56">
        <f t="shared" si="5"/>
        <v>0</v>
      </c>
      <c r="AX56">
        <f t="shared" si="13"/>
        <v>55</v>
      </c>
      <c r="AY56" s="154">
        <v>0</v>
      </c>
      <c r="AZ56" s="154">
        <f t="shared" si="6"/>
        <v>0</v>
      </c>
      <c r="BA56" s="155">
        <f t="shared" si="7"/>
        <v>0</v>
      </c>
      <c r="BB56" s="155">
        <f t="shared" si="8"/>
        <v>0</v>
      </c>
      <c r="BC56" s="155">
        <f t="shared" si="9"/>
        <v>0</v>
      </c>
      <c r="BD56" s="155">
        <f t="shared" si="10"/>
        <v>0</v>
      </c>
      <c r="BE56" s="236">
        <f t="shared" si="11"/>
        <v>32328.039999999994</v>
      </c>
      <c r="BF56">
        <f>X56*'Rate Class Customer Model'!O56</f>
        <v>1837840.6833333338</v>
      </c>
      <c r="BG56" s="123">
        <f t="shared" si="12"/>
        <v>2104768.7666666657</v>
      </c>
      <c r="BH56">
        <v>0</v>
      </c>
    </row>
    <row r="57" spans="1:60" x14ac:dyDescent="0.2">
      <c r="A57" s="3">
        <v>42217</v>
      </c>
      <c r="B57">
        <f t="shared" si="0"/>
        <v>2015</v>
      </c>
      <c r="C57">
        <f t="shared" si="1"/>
        <v>8</v>
      </c>
      <c r="D57" s="46">
        <f>Purchases!D117</f>
        <v>23252784.615384616</v>
      </c>
      <c r="E57" s="46">
        <f>Purchases!E117</f>
        <v>6174414.08421</v>
      </c>
      <c r="F57" s="46">
        <f ca="1">CDM!D73</f>
        <v>384185.06420092238</v>
      </c>
      <c r="G57" s="46">
        <f t="shared" ca="1" si="2"/>
        <v>23636969.679585539</v>
      </c>
      <c r="H57" s="46">
        <f t="shared" si="3"/>
        <v>17078370.531174615</v>
      </c>
      <c r="I57" s="46">
        <f t="shared" ca="1" si="4"/>
        <v>17462555.595375538</v>
      </c>
      <c r="J57" s="46">
        <f>'Rate Class Customer Model'!V57</f>
        <v>14409.333333333328</v>
      </c>
      <c r="K57" s="109">
        <f>IF(C57=12,VLOOKUP(B57,'Rate Class Customer Model'!$A$32:$J$44,10,FALSE),(VLOOKUP(B57+1,'Rate Class Customer Model'!$A$32:$J$44,10,FALSE)-VLOOKUP(B57,'Rate Class Customer Model'!$A$32:$J$44,10,FALSE))/12+K56)</f>
        <v>11713.333333333328</v>
      </c>
      <c r="L57" s="152">
        <f>Economic!C57</f>
        <v>677384</v>
      </c>
      <c r="M57" s="152">
        <f>Economic!E57</f>
        <v>151.34596113997458</v>
      </c>
      <c r="N57" s="152">
        <f>Economic!F57</f>
        <v>6949.2</v>
      </c>
      <c r="O57" s="152">
        <f>Economic!G57</f>
        <v>7045.7</v>
      </c>
      <c r="P57" s="152">
        <f>Economic!H57</f>
        <v>158.69999999999999</v>
      </c>
      <c r="Q57" s="152">
        <f>Economic!I57</f>
        <v>160.80000000000001</v>
      </c>
      <c r="R57" s="149">
        <f>Weather!C177</f>
        <v>21.041935483870965</v>
      </c>
      <c r="S57" s="150">
        <f>Weather!D177</f>
        <v>21.7</v>
      </c>
      <c r="T57" s="150">
        <f>Weather!E177</f>
        <v>54</v>
      </c>
      <c r="U57" s="150">
        <f>Weather!F177</f>
        <v>8.5000000000000018</v>
      </c>
      <c r="V57" s="150">
        <f>Weather!G177</f>
        <v>102.79999999999997</v>
      </c>
      <c r="W57" s="150">
        <f>Weather!H177</f>
        <v>2.0999999999999996</v>
      </c>
      <c r="X57" s="150">
        <f>Weather!I177</f>
        <v>158.4</v>
      </c>
      <c r="Y57" s="150">
        <f>Weather!J177</f>
        <v>0</v>
      </c>
      <c r="Z57" s="150">
        <f>Weather!K177</f>
        <v>218.3</v>
      </c>
      <c r="AA57" s="150">
        <f>Weather!L177</f>
        <v>0</v>
      </c>
      <c r="AB57" s="150">
        <f>Weather!M177</f>
        <v>280.3</v>
      </c>
      <c r="AC57" s="150">
        <f>Weather!N177</f>
        <v>0</v>
      </c>
      <c r="AD57" s="150">
        <f>Weather!O177</f>
        <v>342.30000000000007</v>
      </c>
      <c r="AE57" s="150">
        <f>Weather!P177</f>
        <v>0</v>
      </c>
      <c r="AF57" s="150">
        <f>Weather!Q177</f>
        <v>404.30000000000007</v>
      </c>
      <c r="AG57" s="151">
        <f t="shared" si="52"/>
        <v>31</v>
      </c>
      <c r="AH57" s="151">
        <v>20</v>
      </c>
      <c r="AI57">
        <f t="shared" ref="AI57:AV57" si="59">AI45</f>
        <v>0</v>
      </c>
      <c r="AJ57">
        <f t="shared" si="59"/>
        <v>0</v>
      </c>
      <c r="AK57">
        <f t="shared" si="59"/>
        <v>0</v>
      </c>
      <c r="AL57">
        <f t="shared" si="59"/>
        <v>0</v>
      </c>
      <c r="AM57">
        <f t="shared" si="59"/>
        <v>0</v>
      </c>
      <c r="AN57">
        <f t="shared" si="59"/>
        <v>0</v>
      </c>
      <c r="AO57">
        <f t="shared" si="59"/>
        <v>0</v>
      </c>
      <c r="AP57">
        <f t="shared" si="59"/>
        <v>1</v>
      </c>
      <c r="AQ57">
        <f t="shared" si="59"/>
        <v>0</v>
      </c>
      <c r="AR57">
        <f t="shared" si="59"/>
        <v>0</v>
      </c>
      <c r="AS57">
        <f t="shared" si="59"/>
        <v>0</v>
      </c>
      <c r="AT57">
        <f t="shared" si="59"/>
        <v>0</v>
      </c>
      <c r="AU57">
        <f t="shared" si="59"/>
        <v>0</v>
      </c>
      <c r="AV57">
        <f t="shared" si="59"/>
        <v>0</v>
      </c>
      <c r="AW57">
        <f t="shared" si="5"/>
        <v>0</v>
      </c>
      <c r="AX57">
        <f t="shared" si="13"/>
        <v>56</v>
      </c>
      <c r="AY57" s="154">
        <v>0</v>
      </c>
      <c r="AZ57" s="154">
        <f t="shared" si="6"/>
        <v>0</v>
      </c>
      <c r="BA57" s="155">
        <f t="shared" si="7"/>
        <v>0</v>
      </c>
      <c r="BB57" s="155">
        <f t="shared" si="8"/>
        <v>0</v>
      </c>
      <c r="BC57" s="155">
        <f t="shared" si="9"/>
        <v>0</v>
      </c>
      <c r="BD57" s="155">
        <f t="shared" si="10"/>
        <v>0</v>
      </c>
      <c r="BE57" s="236">
        <f t="shared" si="11"/>
        <v>25090.560000000001</v>
      </c>
      <c r="BF57">
        <f>X57*'Rate Class Customer Model'!O57</f>
        <v>1619745.6000000008</v>
      </c>
      <c r="BG57" s="123">
        <f t="shared" si="12"/>
        <v>1855391.9999999993</v>
      </c>
      <c r="BH57">
        <v>0</v>
      </c>
    </row>
    <row r="58" spans="1:60" x14ac:dyDescent="0.2">
      <c r="A58" s="3">
        <v>42248</v>
      </c>
      <c r="B58">
        <f t="shared" si="0"/>
        <v>2015</v>
      </c>
      <c r="C58">
        <f t="shared" si="1"/>
        <v>9</v>
      </c>
      <c r="D58" s="46">
        <f>Purchases!D118</f>
        <v>21319146.153846156</v>
      </c>
      <c r="E58" s="46">
        <f>Purchases!E118</f>
        <v>6162164.3651700001</v>
      </c>
      <c r="F58" s="46">
        <f ca="1">CDM!D74</f>
        <v>397309.02246006567</v>
      </c>
      <c r="G58" s="46">
        <f t="shared" ca="1" si="2"/>
        <v>21716455.176306222</v>
      </c>
      <c r="H58" s="46">
        <f t="shared" si="3"/>
        <v>15156981.788676156</v>
      </c>
      <c r="I58" s="46">
        <f t="shared" ca="1" si="4"/>
        <v>15554290.811136222</v>
      </c>
      <c r="J58" s="46">
        <f>'Rate Class Customer Model'!V58</f>
        <v>14414.249999999995</v>
      </c>
      <c r="K58" s="109">
        <f>IF(C58=12,VLOOKUP(B58,'Rate Class Customer Model'!$A$32:$J$44,10,FALSE),(VLOOKUP(B58+1,'Rate Class Customer Model'!$A$32:$J$44,10,FALSE)-VLOOKUP(B58,'Rate Class Customer Model'!$A$32:$J$44,10,FALSE))/12+K57)</f>
        <v>11720.499999999995</v>
      </c>
      <c r="L58" s="152">
        <f>Economic!C58</f>
        <v>677384</v>
      </c>
      <c r="M58" s="152">
        <f>Economic!E58</f>
        <v>151.67505457908777</v>
      </c>
      <c r="N58" s="152">
        <f>Economic!F58</f>
        <v>6941.1</v>
      </c>
      <c r="O58" s="152">
        <f>Economic!G58</f>
        <v>6994.9</v>
      </c>
      <c r="P58" s="152">
        <f>Economic!H58</f>
        <v>155.5</v>
      </c>
      <c r="Q58" s="152">
        <f>Economic!I58</f>
        <v>156.69999999999999</v>
      </c>
      <c r="R58" s="149">
        <f>Weather!C178</f>
        <v>19.576666666666668</v>
      </c>
      <c r="S58" s="150">
        <f>Weather!D178</f>
        <v>51.3</v>
      </c>
      <c r="T58" s="150">
        <f>Weather!E178</f>
        <v>38.599999999999994</v>
      </c>
      <c r="U58" s="150">
        <f>Weather!F178</f>
        <v>23.099999999999998</v>
      </c>
      <c r="V58" s="150">
        <f>Weather!G178</f>
        <v>70.400000000000006</v>
      </c>
      <c r="W58" s="150">
        <f>Weather!H178</f>
        <v>7.2999999999999972</v>
      </c>
      <c r="X58" s="150">
        <f>Weather!I178</f>
        <v>114.6</v>
      </c>
      <c r="Y58" s="150">
        <f>Weather!J178</f>
        <v>0.19999999999999929</v>
      </c>
      <c r="Z58" s="150">
        <f>Weather!K178</f>
        <v>167.50000000000003</v>
      </c>
      <c r="AA58" s="150">
        <f>Weather!L178</f>
        <v>0</v>
      </c>
      <c r="AB58" s="150">
        <f>Weather!M178</f>
        <v>227.30000000000007</v>
      </c>
      <c r="AC58" s="150">
        <f>Weather!N178</f>
        <v>0</v>
      </c>
      <c r="AD58" s="150">
        <f>Weather!O178</f>
        <v>287.30000000000007</v>
      </c>
      <c r="AE58" s="150">
        <f>Weather!P178</f>
        <v>0</v>
      </c>
      <c r="AF58" s="150">
        <f>Weather!Q178</f>
        <v>347.30000000000013</v>
      </c>
      <c r="AG58" s="151">
        <f t="shared" si="52"/>
        <v>30</v>
      </c>
      <c r="AH58" s="151">
        <v>21</v>
      </c>
      <c r="AI58">
        <f t="shared" ref="AI58:AV58" si="60">AI46</f>
        <v>0</v>
      </c>
      <c r="AJ58">
        <f t="shared" si="60"/>
        <v>0</v>
      </c>
      <c r="AK58">
        <f t="shared" si="60"/>
        <v>0</v>
      </c>
      <c r="AL58">
        <f t="shared" si="60"/>
        <v>0</v>
      </c>
      <c r="AM58">
        <f t="shared" si="60"/>
        <v>0</v>
      </c>
      <c r="AN58">
        <f t="shared" si="60"/>
        <v>0</v>
      </c>
      <c r="AO58">
        <f t="shared" si="60"/>
        <v>0</v>
      </c>
      <c r="AP58">
        <f t="shared" si="60"/>
        <v>0</v>
      </c>
      <c r="AQ58">
        <f t="shared" si="60"/>
        <v>1</v>
      </c>
      <c r="AR58">
        <f t="shared" si="60"/>
        <v>0</v>
      </c>
      <c r="AS58">
        <f t="shared" si="60"/>
        <v>0</v>
      </c>
      <c r="AT58">
        <f t="shared" si="60"/>
        <v>0</v>
      </c>
      <c r="AU58">
        <f t="shared" si="60"/>
        <v>0</v>
      </c>
      <c r="AV58">
        <f t="shared" si="60"/>
        <v>1</v>
      </c>
      <c r="AW58">
        <f t="shared" si="5"/>
        <v>1</v>
      </c>
      <c r="AX58">
        <f t="shared" si="13"/>
        <v>57</v>
      </c>
      <c r="AY58" s="154">
        <v>0</v>
      </c>
      <c r="AZ58" s="154">
        <f t="shared" si="6"/>
        <v>0</v>
      </c>
      <c r="BA58" s="155">
        <f t="shared" si="7"/>
        <v>0</v>
      </c>
      <c r="BB58" s="155">
        <f t="shared" si="8"/>
        <v>0</v>
      </c>
      <c r="BC58" s="155">
        <f t="shared" si="9"/>
        <v>0</v>
      </c>
      <c r="BD58" s="155">
        <f t="shared" si="10"/>
        <v>0</v>
      </c>
      <c r="BE58" s="236">
        <f t="shared" si="11"/>
        <v>13133.159999999998</v>
      </c>
      <c r="BF58">
        <f>X58*'Rate Class Customer Model'!O58</f>
        <v>1172329.3500000006</v>
      </c>
      <c r="BG58" s="123">
        <f t="shared" si="12"/>
        <v>1343169.2999999993</v>
      </c>
      <c r="BH58">
        <v>0</v>
      </c>
    </row>
    <row r="59" spans="1:60" x14ac:dyDescent="0.2">
      <c r="A59" s="3">
        <v>42278</v>
      </c>
      <c r="B59">
        <f t="shared" si="0"/>
        <v>2015</v>
      </c>
      <c r="C59">
        <f t="shared" si="1"/>
        <v>10</v>
      </c>
      <c r="D59" s="46">
        <f>Purchases!D119</f>
        <v>17917492.307692308</v>
      </c>
      <c r="E59" s="46">
        <f>Purchases!E119</f>
        <v>5558407.3692600001</v>
      </c>
      <c r="F59" s="46">
        <f ca="1">CDM!D75</f>
        <v>410432.98071920895</v>
      </c>
      <c r="G59" s="46">
        <f t="shared" ca="1" si="2"/>
        <v>18327925.288411517</v>
      </c>
      <c r="H59" s="46">
        <f t="shared" si="3"/>
        <v>12359084.938432308</v>
      </c>
      <c r="I59" s="46">
        <f t="shared" ca="1" si="4"/>
        <v>12769517.919151517</v>
      </c>
      <c r="J59" s="46">
        <f>'Rate Class Customer Model'!V59</f>
        <v>14419.166666666661</v>
      </c>
      <c r="K59" s="109">
        <f>IF(C59=12,VLOOKUP(B59,'Rate Class Customer Model'!$A$32:$J$44,10,FALSE),(VLOOKUP(B59+1,'Rate Class Customer Model'!$A$32:$J$44,10,FALSE)-VLOOKUP(B59,'Rate Class Customer Model'!$A$32:$J$44,10,FALSE))/12+K58)</f>
        <v>11727.666666666661</v>
      </c>
      <c r="L59" s="152">
        <f>Economic!C59</f>
        <v>677384</v>
      </c>
      <c r="M59" s="152">
        <f>Economic!E59</f>
        <v>152.00414801820096</v>
      </c>
      <c r="N59" s="152">
        <f>Economic!F59</f>
        <v>6934.8</v>
      </c>
      <c r="O59" s="152">
        <f>Economic!G59</f>
        <v>6969</v>
      </c>
      <c r="P59" s="152">
        <f>Economic!H59</f>
        <v>153.9</v>
      </c>
      <c r="Q59" s="152">
        <f>Economic!I59</f>
        <v>155.1</v>
      </c>
      <c r="R59" s="149">
        <f>Weather!C179</f>
        <v>11.758064516129032</v>
      </c>
      <c r="S59" s="150">
        <f>Weather!D179</f>
        <v>255.50000000000003</v>
      </c>
      <c r="T59" s="150">
        <f>Weather!E179</f>
        <v>0</v>
      </c>
      <c r="U59" s="150">
        <f>Weather!F179</f>
        <v>194.50000000000003</v>
      </c>
      <c r="V59" s="150">
        <f>Weather!G179</f>
        <v>1</v>
      </c>
      <c r="W59" s="150">
        <f>Weather!H179</f>
        <v>138.6</v>
      </c>
      <c r="X59" s="150">
        <f>Weather!I179</f>
        <v>7.0999999999999979</v>
      </c>
      <c r="Y59" s="150">
        <f>Weather!J179</f>
        <v>92.5</v>
      </c>
      <c r="Z59" s="150">
        <f>Weather!K179</f>
        <v>22.999999999999996</v>
      </c>
      <c r="AA59" s="150">
        <f>Weather!L179</f>
        <v>52.9</v>
      </c>
      <c r="AB59" s="150">
        <f>Weather!M179</f>
        <v>45.4</v>
      </c>
      <c r="AC59" s="150">
        <f>Weather!N179</f>
        <v>23.499999999999996</v>
      </c>
      <c r="AD59" s="150">
        <f>Weather!O179</f>
        <v>78</v>
      </c>
      <c r="AE59" s="150">
        <f>Weather!P179</f>
        <v>8.1999999999999993</v>
      </c>
      <c r="AF59" s="150">
        <f>Weather!Q179</f>
        <v>124.7</v>
      </c>
      <c r="AG59" s="151">
        <f t="shared" si="52"/>
        <v>31</v>
      </c>
      <c r="AH59" s="151">
        <v>21</v>
      </c>
      <c r="AI59">
        <f t="shared" ref="AI59:AV59" si="61">AI47</f>
        <v>0</v>
      </c>
      <c r="AJ59">
        <f t="shared" si="61"/>
        <v>0</v>
      </c>
      <c r="AK59">
        <f t="shared" si="61"/>
        <v>0</v>
      </c>
      <c r="AL59">
        <f t="shared" si="61"/>
        <v>0</v>
      </c>
      <c r="AM59">
        <f t="shared" si="61"/>
        <v>0</v>
      </c>
      <c r="AN59">
        <f t="shared" si="61"/>
        <v>0</v>
      </c>
      <c r="AO59">
        <f t="shared" si="61"/>
        <v>0</v>
      </c>
      <c r="AP59">
        <f t="shared" si="61"/>
        <v>0</v>
      </c>
      <c r="AQ59">
        <f t="shared" si="61"/>
        <v>0</v>
      </c>
      <c r="AR59">
        <f t="shared" si="61"/>
        <v>1</v>
      </c>
      <c r="AS59">
        <f t="shared" si="61"/>
        <v>0</v>
      </c>
      <c r="AT59">
        <f t="shared" si="61"/>
        <v>0</v>
      </c>
      <c r="AU59">
        <f t="shared" si="61"/>
        <v>0</v>
      </c>
      <c r="AV59">
        <f t="shared" si="61"/>
        <v>1</v>
      </c>
      <c r="AW59">
        <f t="shared" si="5"/>
        <v>1</v>
      </c>
      <c r="AX59">
        <f t="shared" si="13"/>
        <v>58</v>
      </c>
      <c r="AY59" s="154">
        <v>0</v>
      </c>
      <c r="AZ59" s="154">
        <f t="shared" si="6"/>
        <v>0</v>
      </c>
      <c r="BA59" s="155">
        <f t="shared" si="7"/>
        <v>0</v>
      </c>
      <c r="BB59" s="155">
        <f t="shared" si="8"/>
        <v>0</v>
      </c>
      <c r="BC59" s="155">
        <f t="shared" si="9"/>
        <v>0</v>
      </c>
      <c r="BD59" s="155">
        <f t="shared" si="10"/>
        <v>0</v>
      </c>
      <c r="BE59" s="236">
        <f t="shared" si="11"/>
        <v>50.409999999999968</v>
      </c>
      <c r="BF59">
        <f>X59*'Rate Class Customer Model'!O59</f>
        <v>72660.216666666689</v>
      </c>
      <c r="BG59" s="123">
        <f t="shared" si="12"/>
        <v>83266.433333333262</v>
      </c>
      <c r="BH59">
        <v>0</v>
      </c>
    </row>
    <row r="60" spans="1:60" x14ac:dyDescent="0.2">
      <c r="A60" s="3">
        <v>42309</v>
      </c>
      <c r="B60">
        <f t="shared" si="0"/>
        <v>2015</v>
      </c>
      <c r="C60">
        <f t="shared" si="1"/>
        <v>11</v>
      </c>
      <c r="D60" s="46">
        <f>Purchases!D120</f>
        <v>18378200</v>
      </c>
      <c r="E60" s="46">
        <f>Purchases!E120</f>
        <v>4750486.3030199995</v>
      </c>
      <c r="F60" s="46">
        <f ca="1">CDM!D76</f>
        <v>423556.93897835223</v>
      </c>
      <c r="G60" s="46">
        <f t="shared" ca="1" si="2"/>
        <v>18801756.938978352</v>
      </c>
      <c r="H60" s="46">
        <f t="shared" si="3"/>
        <v>13627713.69698</v>
      </c>
      <c r="I60" s="46">
        <f t="shared" ca="1" si="4"/>
        <v>14051270.635958351</v>
      </c>
      <c r="J60" s="46">
        <f>'Rate Class Customer Model'!V60</f>
        <v>14424.083333333327</v>
      </c>
      <c r="K60" s="109">
        <f>IF(C60=12,VLOOKUP(B60,'Rate Class Customer Model'!$A$32:$J$44,10,FALSE),(VLOOKUP(B60+1,'Rate Class Customer Model'!$A$32:$J$44,10,FALSE)-VLOOKUP(B60,'Rate Class Customer Model'!$A$32:$J$44,10,FALSE))/12+K59)</f>
        <v>11734.833333333327</v>
      </c>
      <c r="L60" s="152">
        <f>Economic!C60</f>
        <v>677384</v>
      </c>
      <c r="M60" s="152">
        <f>Economic!E60</f>
        <v>152.33324145731416</v>
      </c>
      <c r="N60" s="152">
        <f>Economic!F60</f>
        <v>6928.3</v>
      </c>
      <c r="O60" s="152">
        <f>Economic!G60</f>
        <v>6936.9</v>
      </c>
      <c r="P60" s="152">
        <f>Economic!H60</f>
        <v>154.19999999999999</v>
      </c>
      <c r="Q60" s="152">
        <f>Economic!I60</f>
        <v>155.19999999999999</v>
      </c>
      <c r="R60" s="149">
        <f>Weather!C180</f>
        <v>7.16</v>
      </c>
      <c r="S60" s="150">
        <f>Weather!D180</f>
        <v>385.2</v>
      </c>
      <c r="T60" s="150">
        <f>Weather!E180</f>
        <v>0</v>
      </c>
      <c r="U60" s="150">
        <f>Weather!F180</f>
        <v>325.2</v>
      </c>
      <c r="V60" s="150">
        <f>Weather!G180</f>
        <v>0</v>
      </c>
      <c r="W60" s="150">
        <f>Weather!H180</f>
        <v>266.09999999999997</v>
      </c>
      <c r="X60" s="150">
        <f>Weather!I180</f>
        <v>0.89999999999999858</v>
      </c>
      <c r="Y60" s="150">
        <f>Weather!J180</f>
        <v>210.49999999999997</v>
      </c>
      <c r="Z60" s="150">
        <f>Weather!K180</f>
        <v>5.2999999999999972</v>
      </c>
      <c r="AA60" s="150">
        <f>Weather!L180</f>
        <v>160.4</v>
      </c>
      <c r="AB60" s="150">
        <f>Weather!M180</f>
        <v>15.199999999999998</v>
      </c>
      <c r="AC60" s="150">
        <f>Weather!N180</f>
        <v>114.4</v>
      </c>
      <c r="AD60" s="150">
        <f>Weather!O180</f>
        <v>29.199999999999992</v>
      </c>
      <c r="AE60" s="150">
        <f>Weather!P180</f>
        <v>77.900000000000006</v>
      </c>
      <c r="AF60" s="150">
        <f>Weather!Q180</f>
        <v>52.699999999999989</v>
      </c>
      <c r="AG60" s="151">
        <f t="shared" si="52"/>
        <v>30</v>
      </c>
      <c r="AH60" s="151">
        <v>21</v>
      </c>
      <c r="AI60">
        <f t="shared" ref="AI60:AV60" si="62">AI48</f>
        <v>0</v>
      </c>
      <c r="AJ60">
        <f t="shared" si="62"/>
        <v>0</v>
      </c>
      <c r="AK60">
        <f t="shared" si="62"/>
        <v>0</v>
      </c>
      <c r="AL60">
        <f t="shared" si="62"/>
        <v>0</v>
      </c>
      <c r="AM60">
        <f t="shared" si="62"/>
        <v>0</v>
      </c>
      <c r="AN60">
        <f t="shared" si="62"/>
        <v>0</v>
      </c>
      <c r="AO60">
        <f t="shared" si="62"/>
        <v>0</v>
      </c>
      <c r="AP60">
        <f t="shared" si="62"/>
        <v>0</v>
      </c>
      <c r="AQ60">
        <f t="shared" si="62"/>
        <v>0</v>
      </c>
      <c r="AR60">
        <f t="shared" si="62"/>
        <v>0</v>
      </c>
      <c r="AS60">
        <f t="shared" si="62"/>
        <v>1</v>
      </c>
      <c r="AT60">
        <f t="shared" si="62"/>
        <v>0</v>
      </c>
      <c r="AU60">
        <f t="shared" si="62"/>
        <v>0</v>
      </c>
      <c r="AV60">
        <f t="shared" si="62"/>
        <v>1</v>
      </c>
      <c r="AW60">
        <f t="shared" si="5"/>
        <v>1</v>
      </c>
      <c r="AX60">
        <f t="shared" si="13"/>
        <v>59</v>
      </c>
      <c r="AY60" s="154">
        <v>0</v>
      </c>
      <c r="AZ60" s="154">
        <f t="shared" si="6"/>
        <v>0</v>
      </c>
      <c r="BA60" s="155">
        <f t="shared" si="7"/>
        <v>0</v>
      </c>
      <c r="BB60" s="155">
        <f t="shared" si="8"/>
        <v>0</v>
      </c>
      <c r="BC60" s="155">
        <f t="shared" si="9"/>
        <v>0</v>
      </c>
      <c r="BD60" s="155">
        <f t="shared" si="10"/>
        <v>0</v>
      </c>
      <c r="BE60" s="236">
        <f t="shared" si="11"/>
        <v>0.80999999999999739</v>
      </c>
      <c r="BF60">
        <f>X60*'Rate Class Customer Model'!O60</f>
        <v>9214.1249999999909</v>
      </c>
      <c r="BG60" s="123">
        <f t="shared" si="12"/>
        <v>10561.349999999977</v>
      </c>
      <c r="BH60">
        <v>0</v>
      </c>
    </row>
    <row r="61" spans="1:60" x14ac:dyDescent="0.2">
      <c r="A61" s="3">
        <v>42339</v>
      </c>
      <c r="B61">
        <f t="shared" si="0"/>
        <v>2015</v>
      </c>
      <c r="C61">
        <f t="shared" si="1"/>
        <v>12</v>
      </c>
      <c r="D61" s="46">
        <f>Purchases!D121</f>
        <v>20053746.153846152</v>
      </c>
      <c r="E61" s="46">
        <f>Purchases!E121</f>
        <v>4791973.1588400006</v>
      </c>
      <c r="F61" s="46">
        <f ca="1">CDM!D77</f>
        <v>436680.89723749558</v>
      </c>
      <c r="G61" s="46">
        <f t="shared" ca="1" si="2"/>
        <v>20490427.051083647</v>
      </c>
      <c r="H61" s="46">
        <f t="shared" si="3"/>
        <v>15261772.995006151</v>
      </c>
      <c r="I61" s="46">
        <f t="shared" ca="1" si="4"/>
        <v>15698453.892243646</v>
      </c>
      <c r="J61" s="46">
        <f>'Rate Class Customer Model'!V61</f>
        <v>14429</v>
      </c>
      <c r="K61" s="109">
        <f>IF(C61=12,VLOOKUP(B61,'Rate Class Customer Model'!$A$32:$J$44,10,FALSE),(VLOOKUP(B61+1,'Rate Class Customer Model'!$A$32:$J$44,10,FALSE)-VLOOKUP(B61,'Rate Class Customer Model'!$A$32:$J$44,10,FALSE))/12+K60)</f>
        <v>11706</v>
      </c>
      <c r="L61" s="152">
        <f>Economic!C61</f>
        <v>677384</v>
      </c>
      <c r="M61" s="152">
        <f>Economic!E61</f>
        <v>152.66233489642735</v>
      </c>
      <c r="N61" s="152">
        <f>Economic!F61</f>
        <v>6942.8</v>
      </c>
      <c r="O61" s="152">
        <f>Economic!G61</f>
        <v>6948.2</v>
      </c>
      <c r="P61" s="152">
        <f>Economic!H61</f>
        <v>154.4</v>
      </c>
      <c r="Q61" s="152">
        <f>Economic!I61</f>
        <v>155.19999999999999</v>
      </c>
      <c r="R61" s="149">
        <f>Weather!C181</f>
        <v>4.5387096774193552</v>
      </c>
      <c r="S61" s="150">
        <f>Weather!D181</f>
        <v>479.30000000000007</v>
      </c>
      <c r="T61" s="150">
        <f>Weather!E181</f>
        <v>0</v>
      </c>
      <c r="U61" s="150">
        <f>Weather!F181</f>
        <v>417.30000000000007</v>
      </c>
      <c r="V61" s="150">
        <f>Weather!G181</f>
        <v>0</v>
      </c>
      <c r="W61" s="150">
        <f>Weather!H181</f>
        <v>355.3</v>
      </c>
      <c r="X61" s="150">
        <f>Weather!I181</f>
        <v>0</v>
      </c>
      <c r="Y61" s="150">
        <f>Weather!J181</f>
        <v>293.29999999999995</v>
      </c>
      <c r="Z61" s="150">
        <f>Weather!K181</f>
        <v>0</v>
      </c>
      <c r="AA61" s="150">
        <f>Weather!L181</f>
        <v>232.09999999999994</v>
      </c>
      <c r="AB61" s="150">
        <f>Weather!M181</f>
        <v>0.80000000000000071</v>
      </c>
      <c r="AC61" s="150">
        <f>Weather!N181</f>
        <v>174.7</v>
      </c>
      <c r="AD61" s="150">
        <f>Weather!O181</f>
        <v>5.4</v>
      </c>
      <c r="AE61" s="150">
        <f>Weather!P181</f>
        <v>121.69999999999999</v>
      </c>
      <c r="AF61" s="150">
        <f>Weather!Q181</f>
        <v>14.400000000000002</v>
      </c>
      <c r="AG61" s="151">
        <f t="shared" si="52"/>
        <v>31</v>
      </c>
      <c r="AH61" s="151">
        <v>21</v>
      </c>
      <c r="AI61">
        <f t="shared" ref="AI61:AV61" si="63">AI49</f>
        <v>0</v>
      </c>
      <c r="AJ61">
        <f t="shared" si="63"/>
        <v>0</v>
      </c>
      <c r="AK61">
        <f t="shared" si="63"/>
        <v>0</v>
      </c>
      <c r="AL61">
        <f t="shared" si="63"/>
        <v>0</v>
      </c>
      <c r="AM61">
        <f t="shared" si="63"/>
        <v>0</v>
      </c>
      <c r="AN61">
        <f t="shared" si="63"/>
        <v>0</v>
      </c>
      <c r="AO61">
        <f t="shared" si="63"/>
        <v>0</v>
      </c>
      <c r="AP61">
        <f t="shared" si="63"/>
        <v>0</v>
      </c>
      <c r="AQ61">
        <f t="shared" si="63"/>
        <v>0</v>
      </c>
      <c r="AR61">
        <f t="shared" si="63"/>
        <v>0</v>
      </c>
      <c r="AS61">
        <f t="shared" si="63"/>
        <v>0</v>
      </c>
      <c r="AT61">
        <f t="shared" si="63"/>
        <v>1</v>
      </c>
      <c r="AU61">
        <f t="shared" si="63"/>
        <v>0</v>
      </c>
      <c r="AV61">
        <f t="shared" si="63"/>
        <v>0</v>
      </c>
      <c r="AW61">
        <f t="shared" si="5"/>
        <v>0</v>
      </c>
      <c r="AX61">
        <f t="shared" si="13"/>
        <v>60</v>
      </c>
      <c r="AY61" s="154">
        <v>0</v>
      </c>
      <c r="AZ61" s="154">
        <f t="shared" si="6"/>
        <v>0</v>
      </c>
      <c r="BA61" s="155">
        <f t="shared" si="7"/>
        <v>0</v>
      </c>
      <c r="BB61" s="155">
        <f t="shared" si="8"/>
        <v>0</v>
      </c>
      <c r="BC61" s="155">
        <f t="shared" si="9"/>
        <v>0</v>
      </c>
      <c r="BD61" s="155">
        <f t="shared" si="10"/>
        <v>0</v>
      </c>
      <c r="BE61" s="236">
        <f t="shared" si="11"/>
        <v>0</v>
      </c>
      <c r="BF61">
        <f>X61*'Rate Class Customer Model'!O61</f>
        <v>0</v>
      </c>
      <c r="BG61" s="123">
        <f t="shared" si="12"/>
        <v>0</v>
      </c>
      <c r="BH61">
        <v>0</v>
      </c>
    </row>
    <row r="62" spans="1:60" x14ac:dyDescent="0.2">
      <c r="A62" s="3">
        <v>42370</v>
      </c>
      <c r="B62">
        <f t="shared" si="0"/>
        <v>2016</v>
      </c>
      <c r="C62">
        <f t="shared" si="1"/>
        <v>1</v>
      </c>
      <c r="D62" s="46">
        <f>Purchases!D122</f>
        <v>22182546.149999999</v>
      </c>
      <c r="E62" s="46">
        <f>Purchases!E122</f>
        <v>5334292.6764200004</v>
      </c>
      <c r="F62" s="46">
        <f ca="1">CDM!D78</f>
        <v>471046.14177012874</v>
      </c>
      <c r="G62" s="46">
        <f t="shared" ca="1" si="2"/>
        <v>22653592.291770127</v>
      </c>
      <c r="H62" s="46">
        <f t="shared" si="3"/>
        <v>16848253.473579999</v>
      </c>
      <c r="I62" s="46">
        <f t="shared" ca="1" si="4"/>
        <v>17319299.615350127</v>
      </c>
      <c r="J62" s="46">
        <f>'Rate Class Customer Model'!V62</f>
        <v>14445.25</v>
      </c>
      <c r="K62" s="109">
        <f>IF(C62=12,VLOOKUP(B62,'Rate Class Customer Model'!$A$32:$J$44,10,FALSE),(VLOOKUP(B62+1,'Rate Class Customer Model'!$A$32:$J$44,10,FALSE)-VLOOKUP(B62,'Rate Class Customer Model'!$A$32:$J$44,10,FALSE))/12+K61)</f>
        <v>11716.916666666666</v>
      </c>
      <c r="L62" s="152">
        <f>Economic!C62</f>
        <v>692620.80000000005</v>
      </c>
      <c r="M62" s="152">
        <f>Economic!E62</f>
        <v>152.94849526537982</v>
      </c>
      <c r="N62" s="152">
        <f>Economic!F62</f>
        <v>6957.7</v>
      </c>
      <c r="O62" s="152">
        <f>Economic!G62</f>
        <v>6919.2</v>
      </c>
      <c r="P62" s="152">
        <f>Economic!H62</f>
        <v>156.19999999999999</v>
      </c>
      <c r="Q62" s="152">
        <f>Economic!I62</f>
        <v>155</v>
      </c>
      <c r="R62" s="149">
        <f>Weather!C182</f>
        <v>-2.8032258064516129</v>
      </c>
      <c r="S62" s="150">
        <f>Weather!D182</f>
        <v>706.9</v>
      </c>
      <c r="T62" s="150">
        <f>Weather!E182</f>
        <v>0</v>
      </c>
      <c r="U62" s="150">
        <f>Weather!F182</f>
        <v>644.9</v>
      </c>
      <c r="V62" s="150">
        <f>Weather!G182</f>
        <v>0</v>
      </c>
      <c r="W62" s="150">
        <f>Weather!H182</f>
        <v>582.9</v>
      </c>
      <c r="X62" s="150">
        <f>Weather!I182</f>
        <v>0</v>
      </c>
      <c r="Y62" s="150">
        <f>Weather!J182</f>
        <v>520.9</v>
      </c>
      <c r="Z62" s="150">
        <f>Weather!K182</f>
        <v>0</v>
      </c>
      <c r="AA62" s="150">
        <f>Weather!L182</f>
        <v>458.89999999999992</v>
      </c>
      <c r="AB62" s="150">
        <f>Weather!M182</f>
        <v>0</v>
      </c>
      <c r="AC62" s="150">
        <f>Weather!N182</f>
        <v>396.9</v>
      </c>
      <c r="AD62" s="150">
        <f>Weather!O182</f>
        <v>0</v>
      </c>
      <c r="AE62" s="150">
        <f>Weather!P182</f>
        <v>334.9</v>
      </c>
      <c r="AF62" s="150">
        <f>Weather!Q182</f>
        <v>0</v>
      </c>
      <c r="AG62" s="151">
        <f t="shared" si="52"/>
        <v>31</v>
      </c>
      <c r="AH62" s="151">
        <v>20</v>
      </c>
      <c r="AI62">
        <f t="shared" ref="AI62:AV62" si="64">AI50</f>
        <v>1</v>
      </c>
      <c r="AJ62">
        <f t="shared" si="64"/>
        <v>0</v>
      </c>
      <c r="AK62">
        <f t="shared" si="64"/>
        <v>0</v>
      </c>
      <c r="AL62">
        <f t="shared" si="64"/>
        <v>0</v>
      </c>
      <c r="AM62">
        <f t="shared" si="64"/>
        <v>0</v>
      </c>
      <c r="AN62">
        <f t="shared" si="64"/>
        <v>0</v>
      </c>
      <c r="AO62">
        <f t="shared" si="64"/>
        <v>0</v>
      </c>
      <c r="AP62">
        <f t="shared" si="64"/>
        <v>0</v>
      </c>
      <c r="AQ62">
        <f t="shared" si="64"/>
        <v>0</v>
      </c>
      <c r="AR62">
        <f t="shared" si="64"/>
        <v>0</v>
      </c>
      <c r="AS62">
        <f t="shared" si="64"/>
        <v>0</v>
      </c>
      <c r="AT62">
        <f t="shared" si="64"/>
        <v>0</v>
      </c>
      <c r="AU62">
        <f t="shared" si="64"/>
        <v>0</v>
      </c>
      <c r="AV62">
        <f t="shared" si="64"/>
        <v>0</v>
      </c>
      <c r="AW62">
        <f t="shared" si="5"/>
        <v>0</v>
      </c>
      <c r="AX62">
        <f t="shared" si="13"/>
        <v>61</v>
      </c>
      <c r="AY62" s="154">
        <v>0</v>
      </c>
      <c r="AZ62" s="154">
        <f t="shared" si="6"/>
        <v>0</v>
      </c>
      <c r="BA62" s="155">
        <f t="shared" si="7"/>
        <v>0</v>
      </c>
      <c r="BB62" s="155">
        <f t="shared" si="8"/>
        <v>0</v>
      </c>
      <c r="BC62" s="155">
        <f t="shared" si="9"/>
        <v>0</v>
      </c>
      <c r="BD62" s="155">
        <f t="shared" si="10"/>
        <v>0</v>
      </c>
      <c r="BE62" s="236">
        <f t="shared" si="11"/>
        <v>0</v>
      </c>
      <c r="BF62">
        <f>X62*'Rate Class Customer Model'!O62</f>
        <v>0</v>
      </c>
      <c r="BG62" s="123">
        <f t="shared" si="12"/>
        <v>0</v>
      </c>
      <c r="BH62">
        <v>1</v>
      </c>
    </row>
    <row r="63" spans="1:60" x14ac:dyDescent="0.2">
      <c r="A63" s="3">
        <v>42401</v>
      </c>
      <c r="B63">
        <f t="shared" si="0"/>
        <v>2016</v>
      </c>
      <c r="C63">
        <f t="shared" si="1"/>
        <v>2</v>
      </c>
      <c r="D63" s="46">
        <f>Purchases!D123</f>
        <v>19893038.460000001</v>
      </c>
      <c r="E63" s="46">
        <f>Purchases!E123</f>
        <v>5987933.8334400002</v>
      </c>
      <c r="F63" s="46">
        <f ca="1">CDM!D79</f>
        <v>483582.94839471672</v>
      </c>
      <c r="G63" s="46">
        <f t="shared" ca="1" si="2"/>
        <v>20376621.408394717</v>
      </c>
      <c r="H63" s="46">
        <f t="shared" si="3"/>
        <v>13905104.626560001</v>
      </c>
      <c r="I63" s="46">
        <f t="shared" ca="1" si="4"/>
        <v>14388687.574954716</v>
      </c>
      <c r="J63" s="46">
        <f>'Rate Class Customer Model'!V63</f>
        <v>14461.5</v>
      </c>
      <c r="K63" s="109">
        <f>IF(C63=12,VLOOKUP(B63,'Rate Class Customer Model'!$A$32:$J$44,10,FALSE),(VLOOKUP(B63+1,'Rate Class Customer Model'!$A$32:$J$44,10,FALSE)-VLOOKUP(B63,'Rate Class Customer Model'!$A$32:$J$44,10,FALSE))/12+K62)</f>
        <v>11727.833333333332</v>
      </c>
      <c r="L63" s="152">
        <f>Economic!C63</f>
        <v>692620.80000000005</v>
      </c>
      <c r="M63" s="152">
        <f>Economic!E63</f>
        <v>153.23465563433228</v>
      </c>
      <c r="N63" s="152">
        <f>Economic!F63</f>
        <v>6970.6</v>
      </c>
      <c r="O63" s="152">
        <f>Economic!G63</f>
        <v>6896.8</v>
      </c>
      <c r="P63" s="152">
        <f>Economic!H63</f>
        <v>158.5</v>
      </c>
      <c r="Q63" s="152">
        <f>Economic!I63</f>
        <v>156</v>
      </c>
      <c r="R63" s="149">
        <f>Weather!C183</f>
        <v>-0.97241379310344833</v>
      </c>
      <c r="S63" s="150">
        <f>Weather!D183</f>
        <v>608.20000000000005</v>
      </c>
      <c r="T63" s="150">
        <f>Weather!E183</f>
        <v>0</v>
      </c>
      <c r="U63" s="150">
        <f>Weather!F183</f>
        <v>550.19999999999993</v>
      </c>
      <c r="V63" s="150">
        <f>Weather!G183</f>
        <v>0</v>
      </c>
      <c r="W63" s="150">
        <f>Weather!H183</f>
        <v>492.2</v>
      </c>
      <c r="X63" s="150">
        <f>Weather!I183</f>
        <v>0</v>
      </c>
      <c r="Y63" s="150">
        <f>Weather!J183</f>
        <v>434.20000000000005</v>
      </c>
      <c r="Z63" s="150">
        <f>Weather!K183</f>
        <v>0</v>
      </c>
      <c r="AA63" s="150">
        <f>Weather!L183</f>
        <v>376.20000000000005</v>
      </c>
      <c r="AB63" s="150">
        <f>Weather!M183</f>
        <v>0</v>
      </c>
      <c r="AC63" s="150">
        <f>Weather!N183</f>
        <v>318.20000000000005</v>
      </c>
      <c r="AD63" s="150">
        <f>Weather!O183</f>
        <v>0</v>
      </c>
      <c r="AE63" s="150">
        <f>Weather!P183</f>
        <v>262.50000000000006</v>
      </c>
      <c r="AF63" s="150">
        <f>Weather!Q183</f>
        <v>2.3000000000000007</v>
      </c>
      <c r="AG63" s="151">
        <f t="shared" si="52"/>
        <v>29</v>
      </c>
      <c r="AH63" s="151">
        <v>20</v>
      </c>
      <c r="AI63">
        <f t="shared" ref="AI63:AV63" si="65">AI51</f>
        <v>0</v>
      </c>
      <c r="AJ63">
        <f t="shared" si="65"/>
        <v>1</v>
      </c>
      <c r="AK63">
        <f t="shared" si="65"/>
        <v>0</v>
      </c>
      <c r="AL63">
        <f t="shared" si="65"/>
        <v>0</v>
      </c>
      <c r="AM63">
        <f t="shared" si="65"/>
        <v>0</v>
      </c>
      <c r="AN63">
        <f t="shared" si="65"/>
        <v>0</v>
      </c>
      <c r="AO63">
        <f t="shared" si="65"/>
        <v>0</v>
      </c>
      <c r="AP63">
        <f t="shared" si="65"/>
        <v>0</v>
      </c>
      <c r="AQ63">
        <f t="shared" si="65"/>
        <v>0</v>
      </c>
      <c r="AR63">
        <f t="shared" si="65"/>
        <v>0</v>
      </c>
      <c r="AS63">
        <f t="shared" si="65"/>
        <v>0</v>
      </c>
      <c r="AT63">
        <f t="shared" si="65"/>
        <v>0</v>
      </c>
      <c r="AU63">
        <f t="shared" si="65"/>
        <v>0</v>
      </c>
      <c r="AV63">
        <f t="shared" si="65"/>
        <v>0</v>
      </c>
      <c r="AW63">
        <f t="shared" si="5"/>
        <v>0</v>
      </c>
      <c r="AX63">
        <f t="shared" si="13"/>
        <v>62</v>
      </c>
      <c r="AY63" s="154">
        <v>0</v>
      </c>
      <c r="AZ63" s="154">
        <f t="shared" si="6"/>
        <v>0</v>
      </c>
      <c r="BA63" s="155">
        <f t="shared" si="7"/>
        <v>0</v>
      </c>
      <c r="BB63" s="155">
        <f t="shared" si="8"/>
        <v>0</v>
      </c>
      <c r="BC63" s="155">
        <f t="shared" si="9"/>
        <v>0</v>
      </c>
      <c r="BD63" s="155">
        <f t="shared" si="10"/>
        <v>0</v>
      </c>
      <c r="BE63" s="236">
        <f t="shared" si="11"/>
        <v>0</v>
      </c>
      <c r="BF63">
        <f>X63*'Rate Class Customer Model'!O63</f>
        <v>0</v>
      </c>
      <c r="BG63" s="123">
        <f t="shared" si="12"/>
        <v>0</v>
      </c>
      <c r="BH63">
        <f>BH62</f>
        <v>1</v>
      </c>
    </row>
    <row r="64" spans="1:60" x14ac:dyDescent="0.2">
      <c r="A64" s="3">
        <v>42430</v>
      </c>
      <c r="B64">
        <f t="shared" si="0"/>
        <v>2016</v>
      </c>
      <c r="C64">
        <f t="shared" si="1"/>
        <v>3</v>
      </c>
      <c r="D64" s="46">
        <f>Purchases!D124</f>
        <v>19158792.309999999</v>
      </c>
      <c r="E64" s="46">
        <f>Purchases!E124</f>
        <v>5265686.2439099997</v>
      </c>
      <c r="F64" s="46">
        <f ca="1">CDM!D80</f>
        <v>496119.75501930469</v>
      </c>
      <c r="G64" s="46">
        <f t="shared" ca="1" si="2"/>
        <v>19654912.065019302</v>
      </c>
      <c r="H64" s="46">
        <f t="shared" si="3"/>
        <v>13893106.066089999</v>
      </c>
      <c r="I64" s="46">
        <f t="shared" ca="1" si="4"/>
        <v>14389225.821109302</v>
      </c>
      <c r="J64" s="46">
        <f>'Rate Class Customer Model'!V64</f>
        <v>14477.75</v>
      </c>
      <c r="K64" s="109">
        <f>IF(C64=12,VLOOKUP(B64,'Rate Class Customer Model'!$A$32:$J$44,10,FALSE),(VLOOKUP(B64+1,'Rate Class Customer Model'!$A$32:$J$44,10,FALSE)-VLOOKUP(B64,'Rate Class Customer Model'!$A$32:$J$44,10,FALSE))/12+K63)</f>
        <v>11738.749999999998</v>
      </c>
      <c r="L64" s="152">
        <f>Economic!C64</f>
        <v>692620.80000000005</v>
      </c>
      <c r="M64" s="152">
        <f>Economic!E64</f>
        <v>153.52081600328475</v>
      </c>
      <c r="N64" s="152">
        <f>Economic!F64</f>
        <v>6978.1</v>
      </c>
      <c r="O64" s="152">
        <f>Economic!G64</f>
        <v>6872.4</v>
      </c>
      <c r="P64" s="152">
        <f>Economic!H64</f>
        <v>160.80000000000001</v>
      </c>
      <c r="Q64" s="152">
        <f>Economic!I64</f>
        <v>156.80000000000001</v>
      </c>
      <c r="R64" s="149">
        <f>Weather!C184</f>
        <v>4.9548387096774196</v>
      </c>
      <c r="S64" s="150">
        <f>Weather!D184</f>
        <v>466.4</v>
      </c>
      <c r="T64" s="150">
        <f>Weather!E184</f>
        <v>0</v>
      </c>
      <c r="U64" s="150">
        <f>Weather!F184</f>
        <v>404.4</v>
      </c>
      <c r="V64" s="150">
        <f>Weather!G184</f>
        <v>0</v>
      </c>
      <c r="W64" s="150">
        <f>Weather!H184</f>
        <v>342.4</v>
      </c>
      <c r="X64" s="150">
        <f>Weather!I184</f>
        <v>0</v>
      </c>
      <c r="Y64" s="150">
        <f>Weather!J184</f>
        <v>281</v>
      </c>
      <c r="Z64" s="150">
        <f>Weather!K184</f>
        <v>0.59999999999999964</v>
      </c>
      <c r="AA64" s="150">
        <f>Weather!L184</f>
        <v>224.50000000000003</v>
      </c>
      <c r="AB64" s="150">
        <f>Weather!M184</f>
        <v>6.1</v>
      </c>
      <c r="AC64" s="150">
        <f>Weather!N184</f>
        <v>170.50000000000006</v>
      </c>
      <c r="AD64" s="150">
        <f>Weather!O184</f>
        <v>14.1</v>
      </c>
      <c r="AE64" s="150">
        <f>Weather!P184</f>
        <v>121.50000000000001</v>
      </c>
      <c r="AF64" s="150">
        <f>Weather!Q184</f>
        <v>27.099999999999994</v>
      </c>
      <c r="AG64" s="151">
        <f t="shared" si="52"/>
        <v>31</v>
      </c>
      <c r="AH64" s="151">
        <v>21</v>
      </c>
      <c r="AI64">
        <f t="shared" ref="AI64:AV64" si="66">AI52</f>
        <v>0</v>
      </c>
      <c r="AJ64">
        <f t="shared" si="66"/>
        <v>0</v>
      </c>
      <c r="AK64">
        <f t="shared" si="66"/>
        <v>1</v>
      </c>
      <c r="AL64">
        <f t="shared" si="66"/>
        <v>0</v>
      </c>
      <c r="AM64">
        <f t="shared" si="66"/>
        <v>0</v>
      </c>
      <c r="AN64">
        <f t="shared" si="66"/>
        <v>0</v>
      </c>
      <c r="AO64">
        <f t="shared" si="66"/>
        <v>0</v>
      </c>
      <c r="AP64">
        <f t="shared" si="66"/>
        <v>0</v>
      </c>
      <c r="AQ64">
        <f t="shared" si="66"/>
        <v>0</v>
      </c>
      <c r="AR64">
        <f t="shared" si="66"/>
        <v>0</v>
      </c>
      <c r="AS64">
        <f t="shared" si="66"/>
        <v>0</v>
      </c>
      <c r="AT64">
        <f t="shared" si="66"/>
        <v>0</v>
      </c>
      <c r="AU64">
        <f t="shared" si="66"/>
        <v>1</v>
      </c>
      <c r="AV64">
        <f t="shared" si="66"/>
        <v>0</v>
      </c>
      <c r="AW64">
        <f t="shared" si="5"/>
        <v>1</v>
      </c>
      <c r="AX64">
        <f t="shared" si="13"/>
        <v>63</v>
      </c>
      <c r="AY64" s="154">
        <v>0</v>
      </c>
      <c r="AZ64" s="154">
        <f t="shared" si="6"/>
        <v>0</v>
      </c>
      <c r="BA64" s="155">
        <f t="shared" si="7"/>
        <v>0</v>
      </c>
      <c r="BB64" s="155">
        <f t="shared" si="8"/>
        <v>0</v>
      </c>
      <c r="BC64" s="155">
        <f t="shared" si="9"/>
        <v>0</v>
      </c>
      <c r="BD64" s="155">
        <f t="shared" si="10"/>
        <v>0</v>
      </c>
      <c r="BE64" s="236">
        <f t="shared" si="11"/>
        <v>0</v>
      </c>
      <c r="BF64">
        <f>X64*'Rate Class Customer Model'!O64</f>
        <v>0</v>
      </c>
      <c r="BG64" s="123">
        <f t="shared" si="12"/>
        <v>0</v>
      </c>
      <c r="BH64">
        <f t="shared" ref="BH64:BH121" si="67">BH63</f>
        <v>1</v>
      </c>
    </row>
    <row r="65" spans="1:60" x14ac:dyDescent="0.2">
      <c r="A65" s="3">
        <v>42461</v>
      </c>
      <c r="B65">
        <f t="shared" si="0"/>
        <v>2016</v>
      </c>
      <c r="C65">
        <f t="shared" si="1"/>
        <v>4</v>
      </c>
      <c r="D65" s="46">
        <f>Purchases!D125</f>
        <v>17454523.079999998</v>
      </c>
      <c r="E65" s="46">
        <f>Purchases!E125</f>
        <v>5097503.1288600005</v>
      </c>
      <c r="F65" s="46">
        <f ca="1">CDM!D81</f>
        <v>508656.56164389261</v>
      </c>
      <c r="G65" s="46">
        <f t="shared" ca="1" si="2"/>
        <v>17963179.641643889</v>
      </c>
      <c r="H65" s="46">
        <f t="shared" si="3"/>
        <v>12357019.951139998</v>
      </c>
      <c r="I65" s="46">
        <f t="shared" ca="1" si="4"/>
        <v>12865676.512783889</v>
      </c>
      <c r="J65" s="46">
        <f>'Rate Class Customer Model'!V65</f>
        <v>14494</v>
      </c>
      <c r="K65" s="109">
        <f>IF(C65=12,VLOOKUP(B65,'Rate Class Customer Model'!$A$32:$J$44,10,FALSE),(VLOOKUP(B65+1,'Rate Class Customer Model'!$A$32:$J$44,10,FALSE)-VLOOKUP(B65,'Rate Class Customer Model'!$A$32:$J$44,10,FALSE))/12+K64)</f>
        <v>11749.666666666664</v>
      </c>
      <c r="L65" s="152">
        <f>Economic!C65</f>
        <v>692620.80000000005</v>
      </c>
      <c r="M65" s="152">
        <f>Economic!E65</f>
        <v>153.80697637223722</v>
      </c>
      <c r="N65" s="152">
        <f>Economic!F65</f>
        <v>6981.8</v>
      </c>
      <c r="O65" s="152">
        <f>Economic!G65</f>
        <v>6890.3</v>
      </c>
      <c r="P65" s="152">
        <f>Economic!H65</f>
        <v>162.9</v>
      </c>
      <c r="Q65" s="152">
        <f>Economic!I65</f>
        <v>159.30000000000001</v>
      </c>
      <c r="R65" s="149">
        <f>Weather!C185</f>
        <v>6.9300000000000015</v>
      </c>
      <c r="S65" s="150">
        <f>Weather!D185</f>
        <v>392.09999999999991</v>
      </c>
      <c r="T65" s="150">
        <f>Weather!E185</f>
        <v>0</v>
      </c>
      <c r="U65" s="150">
        <f>Weather!F185</f>
        <v>332.09999999999997</v>
      </c>
      <c r="V65" s="150">
        <f>Weather!G185</f>
        <v>0</v>
      </c>
      <c r="W65" s="150">
        <f>Weather!H185</f>
        <v>272.10000000000002</v>
      </c>
      <c r="X65" s="150">
        <f>Weather!I185</f>
        <v>0</v>
      </c>
      <c r="Y65" s="150">
        <f>Weather!J185</f>
        <v>214.6</v>
      </c>
      <c r="Z65" s="150">
        <f>Weather!K185</f>
        <v>2.5</v>
      </c>
      <c r="AA65" s="150">
        <f>Weather!L185</f>
        <v>161.5</v>
      </c>
      <c r="AB65" s="150">
        <f>Weather!M185</f>
        <v>9.4</v>
      </c>
      <c r="AC65" s="150">
        <f>Weather!N185</f>
        <v>113.10000000000001</v>
      </c>
      <c r="AD65" s="150">
        <f>Weather!O185</f>
        <v>21.000000000000004</v>
      </c>
      <c r="AE65" s="150">
        <f>Weather!P185</f>
        <v>74.000000000000014</v>
      </c>
      <c r="AF65" s="150">
        <f>Weather!Q185</f>
        <v>41.900000000000006</v>
      </c>
      <c r="AG65" s="151">
        <f t="shared" si="52"/>
        <v>30</v>
      </c>
      <c r="AH65" s="151">
        <v>21</v>
      </c>
      <c r="AI65">
        <f t="shared" ref="AI65:AV65" si="68">AI53</f>
        <v>0</v>
      </c>
      <c r="AJ65">
        <f t="shared" si="68"/>
        <v>0</v>
      </c>
      <c r="AK65">
        <f t="shared" si="68"/>
        <v>0</v>
      </c>
      <c r="AL65">
        <f t="shared" si="68"/>
        <v>1</v>
      </c>
      <c r="AM65">
        <f t="shared" si="68"/>
        <v>0</v>
      </c>
      <c r="AN65">
        <f t="shared" si="68"/>
        <v>0</v>
      </c>
      <c r="AO65">
        <f t="shared" si="68"/>
        <v>0</v>
      </c>
      <c r="AP65">
        <f t="shared" si="68"/>
        <v>0</v>
      </c>
      <c r="AQ65">
        <f t="shared" si="68"/>
        <v>0</v>
      </c>
      <c r="AR65">
        <f t="shared" si="68"/>
        <v>0</v>
      </c>
      <c r="AS65">
        <f t="shared" si="68"/>
        <v>0</v>
      </c>
      <c r="AT65">
        <f t="shared" si="68"/>
        <v>0</v>
      </c>
      <c r="AU65">
        <f t="shared" si="68"/>
        <v>1</v>
      </c>
      <c r="AV65">
        <f t="shared" si="68"/>
        <v>0</v>
      </c>
      <c r="AW65">
        <f t="shared" si="5"/>
        <v>1</v>
      </c>
      <c r="AX65">
        <f t="shared" si="13"/>
        <v>64</v>
      </c>
      <c r="AY65" s="154">
        <v>0</v>
      </c>
      <c r="AZ65" s="154">
        <f t="shared" si="6"/>
        <v>0</v>
      </c>
      <c r="BA65" s="155">
        <f t="shared" si="7"/>
        <v>0</v>
      </c>
      <c r="BB65" s="155">
        <f t="shared" si="8"/>
        <v>0</v>
      </c>
      <c r="BC65" s="155">
        <f t="shared" si="9"/>
        <v>0</v>
      </c>
      <c r="BD65" s="155">
        <f t="shared" si="10"/>
        <v>0</v>
      </c>
      <c r="BE65" s="236">
        <f t="shared" si="11"/>
        <v>0</v>
      </c>
      <c r="BF65">
        <f>X65*'Rate Class Customer Model'!O65</f>
        <v>0</v>
      </c>
      <c r="BG65" s="123">
        <f t="shared" si="12"/>
        <v>0</v>
      </c>
      <c r="BH65">
        <f t="shared" si="67"/>
        <v>1</v>
      </c>
    </row>
    <row r="66" spans="1:60" x14ac:dyDescent="0.2">
      <c r="A66" s="3">
        <v>42491</v>
      </c>
      <c r="B66">
        <f t="shared" si="0"/>
        <v>2016</v>
      </c>
      <c r="C66">
        <f t="shared" si="1"/>
        <v>5</v>
      </c>
      <c r="D66" s="46">
        <f>Purchases!D126</f>
        <v>17779684.620000001</v>
      </c>
      <c r="E66" s="46">
        <f>Purchases!E126</f>
        <v>4682979.8852999993</v>
      </c>
      <c r="F66" s="46">
        <f ca="1">CDM!D82</f>
        <v>521193.36826848052</v>
      </c>
      <c r="G66" s="46">
        <f t="shared" ca="1" si="2"/>
        <v>18300877.98826848</v>
      </c>
      <c r="H66" s="46">
        <f t="shared" si="3"/>
        <v>13096704.734700002</v>
      </c>
      <c r="I66" s="46">
        <f t="shared" ca="1" si="4"/>
        <v>13617898.10296848</v>
      </c>
      <c r="J66" s="46">
        <f>'Rate Class Customer Model'!V66</f>
        <v>14510.25</v>
      </c>
      <c r="K66" s="109">
        <f>IF(C66=12,VLOOKUP(B66,'Rate Class Customer Model'!$A$32:$J$44,10,FALSE),(VLOOKUP(B66+1,'Rate Class Customer Model'!$A$32:$J$44,10,FALSE)-VLOOKUP(B66,'Rate Class Customer Model'!$A$32:$J$44,10,FALSE))/12+K65)</f>
        <v>11760.58333333333</v>
      </c>
      <c r="L66" s="152">
        <f>Economic!C66</f>
        <v>692620.80000000005</v>
      </c>
      <c r="M66" s="152">
        <f>Economic!E66</f>
        <v>154.09313674118968</v>
      </c>
      <c r="N66" s="152">
        <f>Economic!F66</f>
        <v>6994.4</v>
      </c>
      <c r="O66" s="152">
        <f>Economic!G66</f>
        <v>6962.5</v>
      </c>
      <c r="P66" s="152">
        <f>Economic!H66</f>
        <v>164.7</v>
      </c>
      <c r="Q66" s="152">
        <f>Economic!I66</f>
        <v>162.1</v>
      </c>
      <c r="R66" s="149">
        <f>Weather!C186</f>
        <v>15.122580645161293</v>
      </c>
      <c r="S66" s="150">
        <f>Weather!D186</f>
        <v>173.29999999999998</v>
      </c>
      <c r="T66" s="150">
        <f>Weather!E186</f>
        <v>22.100000000000005</v>
      </c>
      <c r="U66" s="150">
        <f>Weather!F186</f>
        <v>126.6</v>
      </c>
      <c r="V66" s="150">
        <f>Weather!G186</f>
        <v>37.400000000000006</v>
      </c>
      <c r="W66" s="150">
        <f>Weather!H186</f>
        <v>82.399999999999991</v>
      </c>
      <c r="X66" s="150">
        <f>Weather!I186</f>
        <v>55.2</v>
      </c>
      <c r="Y66" s="150">
        <f>Weather!J186</f>
        <v>46.099999999999994</v>
      </c>
      <c r="Z66" s="150">
        <f>Weather!K186</f>
        <v>80.900000000000006</v>
      </c>
      <c r="AA66" s="150">
        <f>Weather!L186</f>
        <v>20.099999999999998</v>
      </c>
      <c r="AB66" s="150">
        <f>Weather!M186</f>
        <v>116.89999999999998</v>
      </c>
      <c r="AC66" s="150">
        <f>Weather!N186</f>
        <v>7.0000000000000009</v>
      </c>
      <c r="AD66" s="150">
        <f>Weather!O186</f>
        <v>165.79999999999998</v>
      </c>
      <c r="AE66" s="150">
        <f>Weather!P186</f>
        <v>2.8</v>
      </c>
      <c r="AF66" s="150">
        <f>Weather!Q186</f>
        <v>223.59999999999997</v>
      </c>
      <c r="AG66" s="151">
        <f t="shared" si="52"/>
        <v>31</v>
      </c>
      <c r="AH66" s="151">
        <v>21</v>
      </c>
      <c r="AI66">
        <f t="shared" ref="AI66:AV66" si="69">AI54</f>
        <v>0</v>
      </c>
      <c r="AJ66">
        <f t="shared" si="69"/>
        <v>0</v>
      </c>
      <c r="AK66">
        <f t="shared" si="69"/>
        <v>0</v>
      </c>
      <c r="AL66">
        <f t="shared" si="69"/>
        <v>0</v>
      </c>
      <c r="AM66">
        <f t="shared" si="69"/>
        <v>1</v>
      </c>
      <c r="AN66">
        <f t="shared" si="69"/>
        <v>0</v>
      </c>
      <c r="AO66">
        <f t="shared" si="69"/>
        <v>0</v>
      </c>
      <c r="AP66">
        <f t="shared" si="69"/>
        <v>0</v>
      </c>
      <c r="AQ66">
        <f t="shared" si="69"/>
        <v>0</v>
      </c>
      <c r="AR66">
        <f t="shared" si="69"/>
        <v>0</v>
      </c>
      <c r="AS66">
        <f t="shared" si="69"/>
        <v>0</v>
      </c>
      <c r="AT66">
        <f t="shared" si="69"/>
        <v>0</v>
      </c>
      <c r="AU66">
        <f t="shared" si="69"/>
        <v>1</v>
      </c>
      <c r="AV66">
        <f t="shared" si="69"/>
        <v>0</v>
      </c>
      <c r="AW66">
        <f t="shared" si="5"/>
        <v>1</v>
      </c>
      <c r="AX66">
        <f t="shared" si="13"/>
        <v>65</v>
      </c>
      <c r="AY66" s="154">
        <v>0</v>
      </c>
      <c r="AZ66" s="154">
        <f t="shared" si="6"/>
        <v>0</v>
      </c>
      <c r="BA66" s="155">
        <f t="shared" si="7"/>
        <v>0</v>
      </c>
      <c r="BB66" s="155">
        <f t="shared" si="8"/>
        <v>0</v>
      </c>
      <c r="BC66" s="155">
        <f t="shared" si="9"/>
        <v>0</v>
      </c>
      <c r="BD66" s="155">
        <f t="shared" si="10"/>
        <v>0</v>
      </c>
      <c r="BE66" s="236">
        <f t="shared" si="11"/>
        <v>3047.0400000000004</v>
      </c>
      <c r="BF66">
        <f>X66*'Rate Class Customer Model'!O66</f>
        <v>566968.40000000014</v>
      </c>
      <c r="BG66" s="123">
        <f t="shared" si="12"/>
        <v>649184.19999999984</v>
      </c>
      <c r="BH66">
        <f t="shared" si="67"/>
        <v>1</v>
      </c>
    </row>
    <row r="67" spans="1:60" x14ac:dyDescent="0.2">
      <c r="A67" s="3">
        <v>42522</v>
      </c>
      <c r="B67">
        <f t="shared" ref="B67:B121" si="70">YEAR(A67)</f>
        <v>2016</v>
      </c>
      <c r="C67">
        <f t="shared" ref="C67:C121" si="71">MONTH(A67)</f>
        <v>6</v>
      </c>
      <c r="D67" s="46">
        <f>Purchases!D127</f>
        <v>21050084.620000001</v>
      </c>
      <c r="E67" s="46">
        <f>Purchases!E127</f>
        <v>4512661.5249999994</v>
      </c>
      <c r="F67" s="46">
        <f ca="1">CDM!D83</f>
        <v>533730.1748930685</v>
      </c>
      <c r="G67" s="46">
        <f t="shared" ref="G67:G121" ca="1" si="72">D67+F67</f>
        <v>21583814.794893071</v>
      </c>
      <c r="H67" s="46">
        <f t="shared" ref="H67:H121" si="73">D67-E67</f>
        <v>16537423.095000003</v>
      </c>
      <c r="I67" s="46">
        <f t="shared" ref="I67:I121" ca="1" si="74">D67+F67-E67</f>
        <v>17071153.269893073</v>
      </c>
      <c r="J67" s="46">
        <f>'Rate Class Customer Model'!V67</f>
        <v>14526.5</v>
      </c>
      <c r="K67" s="109">
        <f>IF(C67=12,VLOOKUP(B67,'Rate Class Customer Model'!$A$32:$J$44,10,FALSE),(VLOOKUP(B67+1,'Rate Class Customer Model'!$A$32:$J$44,10,FALSE)-VLOOKUP(B67,'Rate Class Customer Model'!$A$32:$J$44,10,FALSE))/12+K66)</f>
        <v>11771.499999999996</v>
      </c>
      <c r="L67" s="152">
        <f>Economic!C67</f>
        <v>692620.80000000005</v>
      </c>
      <c r="M67" s="152">
        <f>Economic!E67</f>
        <v>154.37929711014215</v>
      </c>
      <c r="N67" s="152">
        <f>Economic!F67</f>
        <v>7001.9</v>
      </c>
      <c r="O67" s="152">
        <f>Economic!G67</f>
        <v>7047.3</v>
      </c>
      <c r="P67" s="152">
        <f>Economic!H67</f>
        <v>166.5</v>
      </c>
      <c r="Q67" s="152">
        <f>Economic!I67</f>
        <v>166.7</v>
      </c>
      <c r="R67" s="149">
        <f>Weather!C187</f>
        <v>21.150000000000002</v>
      </c>
      <c r="S67" s="150">
        <f>Weather!D187</f>
        <v>18.400000000000002</v>
      </c>
      <c r="T67" s="150">
        <f>Weather!E187</f>
        <v>52.900000000000006</v>
      </c>
      <c r="U67" s="150">
        <f>Weather!F187</f>
        <v>6.7999999999999989</v>
      </c>
      <c r="V67" s="150">
        <f>Weather!G187</f>
        <v>101.3</v>
      </c>
      <c r="W67" s="150">
        <f>Weather!H187</f>
        <v>0.90000000000000036</v>
      </c>
      <c r="X67" s="150">
        <f>Weather!I187</f>
        <v>155.4</v>
      </c>
      <c r="Y67" s="150">
        <f>Weather!J187</f>
        <v>0</v>
      </c>
      <c r="Z67" s="150">
        <f>Weather!K187</f>
        <v>214.49999999999991</v>
      </c>
      <c r="AA67" s="150">
        <f>Weather!L187</f>
        <v>0</v>
      </c>
      <c r="AB67" s="150">
        <f>Weather!M187</f>
        <v>274.49999999999989</v>
      </c>
      <c r="AC67" s="150">
        <f>Weather!N187</f>
        <v>0</v>
      </c>
      <c r="AD67" s="150">
        <f>Weather!O187</f>
        <v>334.49999999999989</v>
      </c>
      <c r="AE67" s="150">
        <f>Weather!P187</f>
        <v>0</v>
      </c>
      <c r="AF67" s="150">
        <f>Weather!Q187</f>
        <v>394.49999999999989</v>
      </c>
      <c r="AG67" s="151">
        <f t="shared" si="52"/>
        <v>30</v>
      </c>
      <c r="AH67" s="151">
        <v>22</v>
      </c>
      <c r="AI67">
        <f t="shared" ref="AI67:AV67" si="75">AI55</f>
        <v>0</v>
      </c>
      <c r="AJ67">
        <f t="shared" si="75"/>
        <v>0</v>
      </c>
      <c r="AK67">
        <f t="shared" si="75"/>
        <v>0</v>
      </c>
      <c r="AL67">
        <f t="shared" si="75"/>
        <v>0</v>
      </c>
      <c r="AM67">
        <f t="shared" si="75"/>
        <v>0</v>
      </c>
      <c r="AN67">
        <f t="shared" si="75"/>
        <v>1</v>
      </c>
      <c r="AO67">
        <f t="shared" si="75"/>
        <v>0</v>
      </c>
      <c r="AP67">
        <f t="shared" si="75"/>
        <v>0</v>
      </c>
      <c r="AQ67">
        <f t="shared" si="75"/>
        <v>0</v>
      </c>
      <c r="AR67">
        <f t="shared" si="75"/>
        <v>0</v>
      </c>
      <c r="AS67">
        <f t="shared" si="75"/>
        <v>0</v>
      </c>
      <c r="AT67">
        <f t="shared" si="75"/>
        <v>0</v>
      </c>
      <c r="AU67">
        <f t="shared" si="75"/>
        <v>0</v>
      </c>
      <c r="AV67">
        <f t="shared" si="75"/>
        <v>0</v>
      </c>
      <c r="AW67">
        <f t="shared" ref="AW67:AW121" si="76">AU67+AV67</f>
        <v>0</v>
      </c>
      <c r="AX67">
        <f t="shared" si="13"/>
        <v>66</v>
      </c>
      <c r="AY67" s="154">
        <v>0</v>
      </c>
      <c r="AZ67" s="154">
        <f t="shared" ref="AZ67:AZ114" si="77">AY67</f>
        <v>0</v>
      </c>
      <c r="BA67" s="155">
        <f t="shared" ref="BA67:BA121" si="78">AY67*U67</f>
        <v>0</v>
      </c>
      <c r="BB67" s="155">
        <f t="shared" ref="BB67:BB121" si="79">AY67*V67</f>
        <v>0</v>
      </c>
      <c r="BC67" s="155">
        <f t="shared" ref="BC67:BC121" si="80">AY67*W67</f>
        <v>0</v>
      </c>
      <c r="BD67" s="155">
        <f t="shared" ref="BD67:BD121" si="81">AY67*X67</f>
        <v>0</v>
      </c>
      <c r="BE67" s="236">
        <f t="shared" ref="BE67:BE121" si="82">X67^2</f>
        <v>24149.160000000003</v>
      </c>
      <c r="BF67">
        <f>X67*'Rate Class Customer Model'!O67</f>
        <v>1597045.8000000005</v>
      </c>
      <c r="BG67" s="123">
        <f t="shared" ref="BG67:BG121" si="83">X67*K67</f>
        <v>1829291.0999999994</v>
      </c>
      <c r="BH67">
        <f t="shared" si="67"/>
        <v>1</v>
      </c>
    </row>
    <row r="68" spans="1:60" x14ac:dyDescent="0.2">
      <c r="A68" s="3">
        <v>42552</v>
      </c>
      <c r="B68">
        <f t="shared" si="70"/>
        <v>2016</v>
      </c>
      <c r="C68">
        <f t="shared" si="71"/>
        <v>7</v>
      </c>
      <c r="D68" s="46">
        <f>Purchases!D128</f>
        <v>25290492.309999999</v>
      </c>
      <c r="E68" s="46">
        <f>Purchases!E128</f>
        <v>5292771.1205000002</v>
      </c>
      <c r="F68" s="46">
        <f ca="1">CDM!D84</f>
        <v>546266.98151765647</v>
      </c>
      <c r="G68" s="46">
        <f t="shared" ca="1" si="72"/>
        <v>25836759.291517656</v>
      </c>
      <c r="H68" s="46">
        <f t="shared" si="73"/>
        <v>19997721.189499997</v>
      </c>
      <c r="I68" s="46">
        <f t="shared" ca="1" si="74"/>
        <v>20543988.171017654</v>
      </c>
      <c r="J68" s="46">
        <f>'Rate Class Customer Model'!V68</f>
        <v>14542.75</v>
      </c>
      <c r="K68" s="109">
        <f>IF(C68=12,VLOOKUP(B68,'Rate Class Customer Model'!$A$32:$J$44,10,FALSE),(VLOOKUP(B68+1,'Rate Class Customer Model'!$A$32:$J$44,10,FALSE)-VLOOKUP(B68,'Rate Class Customer Model'!$A$32:$J$44,10,FALSE))/12+K67)</f>
        <v>11782.416666666662</v>
      </c>
      <c r="L68" s="152">
        <f>Economic!C68</f>
        <v>692620.80000000005</v>
      </c>
      <c r="M68" s="152">
        <f>Economic!E68</f>
        <v>154.66545747909461</v>
      </c>
      <c r="N68" s="152">
        <f>Economic!F68</f>
        <v>6995.7</v>
      </c>
      <c r="O68" s="152">
        <f>Economic!G68</f>
        <v>7090.8</v>
      </c>
      <c r="P68" s="152">
        <f>Economic!H68</f>
        <v>167.8</v>
      </c>
      <c r="Q68" s="152">
        <f>Economic!I68</f>
        <v>169.9</v>
      </c>
      <c r="R68" s="149">
        <f>Weather!C188</f>
        <v>23.751612903225805</v>
      </c>
      <c r="S68" s="150">
        <f>Weather!D188</f>
        <v>2.6000000000000014</v>
      </c>
      <c r="T68" s="150">
        <f>Weather!E188</f>
        <v>118.89999999999999</v>
      </c>
      <c r="U68" s="150">
        <f>Weather!F188</f>
        <v>0</v>
      </c>
      <c r="V68" s="150">
        <f>Weather!G188</f>
        <v>178.3</v>
      </c>
      <c r="W68" s="150">
        <f>Weather!H188</f>
        <v>0</v>
      </c>
      <c r="X68" s="150">
        <f>Weather!I188</f>
        <v>240.29999999999998</v>
      </c>
      <c r="Y68" s="150">
        <f>Weather!J188</f>
        <v>0</v>
      </c>
      <c r="Z68" s="150">
        <f>Weather!K188</f>
        <v>302.3</v>
      </c>
      <c r="AA68" s="150">
        <f>Weather!L188</f>
        <v>0</v>
      </c>
      <c r="AB68" s="150">
        <f>Weather!M188</f>
        <v>364.29999999999995</v>
      </c>
      <c r="AC68" s="150">
        <f>Weather!N188</f>
        <v>0</v>
      </c>
      <c r="AD68" s="150">
        <f>Weather!O188</f>
        <v>426.3</v>
      </c>
      <c r="AE68" s="150">
        <f>Weather!P188</f>
        <v>0</v>
      </c>
      <c r="AF68" s="150">
        <f>Weather!Q188</f>
        <v>488.3</v>
      </c>
      <c r="AG68" s="151">
        <f t="shared" si="52"/>
        <v>31</v>
      </c>
      <c r="AH68" s="151">
        <v>20</v>
      </c>
      <c r="AI68">
        <f t="shared" ref="AI68:AV68" si="84">AI56</f>
        <v>0</v>
      </c>
      <c r="AJ68">
        <f t="shared" si="84"/>
        <v>0</v>
      </c>
      <c r="AK68">
        <f t="shared" si="84"/>
        <v>0</v>
      </c>
      <c r="AL68">
        <f t="shared" si="84"/>
        <v>0</v>
      </c>
      <c r="AM68">
        <f t="shared" si="84"/>
        <v>0</v>
      </c>
      <c r="AN68">
        <f t="shared" si="84"/>
        <v>0</v>
      </c>
      <c r="AO68">
        <f t="shared" si="84"/>
        <v>1</v>
      </c>
      <c r="AP68">
        <f t="shared" si="84"/>
        <v>0</v>
      </c>
      <c r="AQ68">
        <f t="shared" si="84"/>
        <v>0</v>
      </c>
      <c r="AR68">
        <f t="shared" si="84"/>
        <v>0</v>
      </c>
      <c r="AS68">
        <f t="shared" si="84"/>
        <v>0</v>
      </c>
      <c r="AT68">
        <f t="shared" si="84"/>
        <v>0</v>
      </c>
      <c r="AU68">
        <f t="shared" si="84"/>
        <v>0</v>
      </c>
      <c r="AV68">
        <f t="shared" si="84"/>
        <v>0</v>
      </c>
      <c r="AW68">
        <f t="shared" si="76"/>
        <v>0</v>
      </c>
      <c r="AX68">
        <f t="shared" ref="AX68:AX121" si="85">1+AX67</f>
        <v>67</v>
      </c>
      <c r="AY68" s="154">
        <v>0</v>
      </c>
      <c r="AZ68" s="154">
        <f t="shared" si="77"/>
        <v>0</v>
      </c>
      <c r="BA68" s="155">
        <f t="shared" si="78"/>
        <v>0</v>
      </c>
      <c r="BB68" s="155">
        <f t="shared" si="79"/>
        <v>0</v>
      </c>
      <c r="BC68" s="155">
        <f t="shared" si="80"/>
        <v>0</v>
      </c>
      <c r="BD68" s="155">
        <f t="shared" si="81"/>
        <v>0</v>
      </c>
      <c r="BE68" s="236">
        <f t="shared" si="82"/>
        <v>57744.089999999989</v>
      </c>
      <c r="BF68">
        <f>X68*'Rate Class Customer Model'!O68</f>
        <v>2470964.850000001</v>
      </c>
      <c r="BG68" s="123">
        <f t="shared" si="83"/>
        <v>2831314.7249999987</v>
      </c>
      <c r="BH68">
        <f t="shared" si="67"/>
        <v>1</v>
      </c>
    </row>
    <row r="69" spans="1:60" x14ac:dyDescent="0.2">
      <c r="A69" s="3">
        <v>42583</v>
      </c>
      <c r="B69">
        <f t="shared" si="70"/>
        <v>2016</v>
      </c>
      <c r="C69">
        <f t="shared" si="71"/>
        <v>8</v>
      </c>
      <c r="D69" s="46">
        <f>Purchases!D129</f>
        <v>26373046.149999999</v>
      </c>
      <c r="E69" s="46">
        <f>Purchases!E129</f>
        <v>6479248.5064000003</v>
      </c>
      <c r="F69" s="46">
        <f ca="1">CDM!D85</f>
        <v>558803.78814224433</v>
      </c>
      <c r="G69" s="46">
        <f t="shared" ca="1" si="72"/>
        <v>26931849.938142244</v>
      </c>
      <c r="H69" s="46">
        <f t="shared" si="73"/>
        <v>19893797.643599998</v>
      </c>
      <c r="I69" s="46">
        <f t="shared" ca="1" si="74"/>
        <v>20452601.431742243</v>
      </c>
      <c r="J69" s="46">
        <f>'Rate Class Customer Model'!V69</f>
        <v>14559</v>
      </c>
      <c r="K69" s="109">
        <f>IF(C69=12,VLOOKUP(B69,'Rate Class Customer Model'!$A$32:$J$44,10,FALSE),(VLOOKUP(B69+1,'Rate Class Customer Model'!$A$32:$J$44,10,FALSE)-VLOOKUP(B69,'Rate Class Customer Model'!$A$32:$J$44,10,FALSE))/12+K68)</f>
        <v>11793.333333333328</v>
      </c>
      <c r="L69" s="152">
        <f>Economic!C69</f>
        <v>692620.80000000005</v>
      </c>
      <c r="M69" s="152">
        <f>Economic!E69</f>
        <v>154.95161784804708</v>
      </c>
      <c r="N69" s="152">
        <f>Economic!F69</f>
        <v>6990.6</v>
      </c>
      <c r="O69" s="152">
        <f>Economic!G69</f>
        <v>7083.3</v>
      </c>
      <c r="P69" s="152">
        <f>Economic!H69</f>
        <v>168.3</v>
      </c>
      <c r="Q69" s="152">
        <f>Economic!I69</f>
        <v>171.7</v>
      </c>
      <c r="R69" s="149">
        <f>Weather!C189</f>
        <v>23.641935483870963</v>
      </c>
      <c r="S69" s="150">
        <f>Weather!D189</f>
        <v>1.3999999999999986</v>
      </c>
      <c r="T69" s="150">
        <f>Weather!E189</f>
        <v>114.29999999999998</v>
      </c>
      <c r="U69" s="150">
        <f>Weather!F189</f>
        <v>0</v>
      </c>
      <c r="V69" s="150">
        <f>Weather!G189</f>
        <v>174.90000000000006</v>
      </c>
      <c r="W69" s="150">
        <f>Weather!H189</f>
        <v>0</v>
      </c>
      <c r="X69" s="150">
        <f>Weather!I189</f>
        <v>236.90000000000003</v>
      </c>
      <c r="Y69" s="150">
        <f>Weather!J189</f>
        <v>0</v>
      </c>
      <c r="Z69" s="150">
        <f>Weather!K189</f>
        <v>298.89999999999992</v>
      </c>
      <c r="AA69" s="150">
        <f>Weather!L189</f>
        <v>0</v>
      </c>
      <c r="AB69" s="150">
        <f>Weather!M189</f>
        <v>360.9</v>
      </c>
      <c r="AC69" s="150">
        <f>Weather!N189</f>
        <v>0</v>
      </c>
      <c r="AD69" s="150">
        <f>Weather!O189</f>
        <v>422.90000000000003</v>
      </c>
      <c r="AE69" s="150">
        <f>Weather!P189</f>
        <v>0</v>
      </c>
      <c r="AF69" s="150">
        <f>Weather!Q189</f>
        <v>484.90000000000003</v>
      </c>
      <c r="AG69" s="151">
        <f t="shared" si="52"/>
        <v>31</v>
      </c>
      <c r="AH69" s="151">
        <v>22</v>
      </c>
      <c r="AI69">
        <f t="shared" ref="AI69:AV69" si="86">AI57</f>
        <v>0</v>
      </c>
      <c r="AJ69">
        <f t="shared" si="86"/>
        <v>0</v>
      </c>
      <c r="AK69">
        <f t="shared" si="86"/>
        <v>0</v>
      </c>
      <c r="AL69">
        <f t="shared" si="86"/>
        <v>0</v>
      </c>
      <c r="AM69">
        <f t="shared" si="86"/>
        <v>0</v>
      </c>
      <c r="AN69">
        <f t="shared" si="86"/>
        <v>0</v>
      </c>
      <c r="AO69">
        <f t="shared" si="86"/>
        <v>0</v>
      </c>
      <c r="AP69">
        <f t="shared" si="86"/>
        <v>1</v>
      </c>
      <c r="AQ69">
        <f t="shared" si="86"/>
        <v>0</v>
      </c>
      <c r="AR69">
        <f t="shared" si="86"/>
        <v>0</v>
      </c>
      <c r="AS69">
        <f t="shared" si="86"/>
        <v>0</v>
      </c>
      <c r="AT69">
        <f t="shared" si="86"/>
        <v>0</v>
      </c>
      <c r="AU69">
        <f t="shared" si="86"/>
        <v>0</v>
      </c>
      <c r="AV69">
        <f t="shared" si="86"/>
        <v>0</v>
      </c>
      <c r="AW69">
        <f t="shared" si="76"/>
        <v>0</v>
      </c>
      <c r="AX69">
        <f t="shared" si="85"/>
        <v>68</v>
      </c>
      <c r="AY69" s="154">
        <v>0</v>
      </c>
      <c r="AZ69" s="154">
        <f t="shared" si="77"/>
        <v>0</v>
      </c>
      <c r="BA69" s="155">
        <f t="shared" si="78"/>
        <v>0</v>
      </c>
      <c r="BB69" s="155">
        <f t="shared" si="79"/>
        <v>0</v>
      </c>
      <c r="BC69" s="155">
        <f t="shared" si="80"/>
        <v>0</v>
      </c>
      <c r="BD69" s="155">
        <f t="shared" si="81"/>
        <v>0</v>
      </c>
      <c r="BE69" s="236">
        <f t="shared" si="82"/>
        <v>56121.610000000015</v>
      </c>
      <c r="BF69">
        <f>X69*'Rate Class Customer Model'!O69</f>
        <v>2437385.1333333347</v>
      </c>
      <c r="BG69" s="123">
        <f t="shared" si="83"/>
        <v>2793840.666666666</v>
      </c>
      <c r="BH69">
        <f t="shared" si="67"/>
        <v>1</v>
      </c>
    </row>
    <row r="70" spans="1:60" x14ac:dyDescent="0.2">
      <c r="A70" s="3">
        <v>42614</v>
      </c>
      <c r="B70">
        <f t="shared" si="70"/>
        <v>2016</v>
      </c>
      <c r="C70">
        <f t="shared" si="71"/>
        <v>9</v>
      </c>
      <c r="D70" s="46">
        <f>Purchases!D130</f>
        <v>19870438.460000001</v>
      </c>
      <c r="E70" s="46">
        <f>Purchases!E130</f>
        <v>6282145.3443000009</v>
      </c>
      <c r="F70" s="46">
        <f ca="1">CDM!D86</f>
        <v>571340.59476683231</v>
      </c>
      <c r="G70" s="46">
        <f t="shared" ca="1" si="72"/>
        <v>20441779.054766834</v>
      </c>
      <c r="H70" s="46">
        <f t="shared" si="73"/>
        <v>13588293.115699999</v>
      </c>
      <c r="I70" s="46">
        <f t="shared" ca="1" si="74"/>
        <v>14159633.710466832</v>
      </c>
      <c r="J70" s="46">
        <f>'Rate Class Customer Model'!V70</f>
        <v>14575.25</v>
      </c>
      <c r="K70" s="109">
        <f>IF(C70=12,VLOOKUP(B70,'Rate Class Customer Model'!$A$32:$J$44,10,FALSE),(VLOOKUP(B70+1,'Rate Class Customer Model'!$A$32:$J$44,10,FALSE)-VLOOKUP(B70,'Rate Class Customer Model'!$A$32:$J$44,10,FALSE))/12+K69)</f>
        <v>11804.249999999995</v>
      </c>
      <c r="L70" s="152">
        <f>Economic!C70</f>
        <v>692620.80000000005</v>
      </c>
      <c r="M70" s="152">
        <f>Economic!E70</f>
        <v>155.23777821699954</v>
      </c>
      <c r="N70" s="152">
        <f>Economic!F70</f>
        <v>6988.9</v>
      </c>
      <c r="O70" s="152">
        <f>Economic!G70</f>
        <v>7037</v>
      </c>
      <c r="P70" s="152">
        <f>Economic!H70</f>
        <v>167.9</v>
      </c>
      <c r="Q70" s="152">
        <f>Economic!I70</f>
        <v>170.5</v>
      </c>
      <c r="R70" s="149">
        <f>Weather!C190</f>
        <v>19.376666666666665</v>
      </c>
      <c r="S70" s="150">
        <f>Weather!D190</f>
        <v>48.5</v>
      </c>
      <c r="T70" s="150">
        <f>Weather!E190</f>
        <v>29.799999999999997</v>
      </c>
      <c r="U70" s="150">
        <f>Weather!F190</f>
        <v>19.399999999999995</v>
      </c>
      <c r="V70" s="150">
        <f>Weather!G190</f>
        <v>60.70000000000001</v>
      </c>
      <c r="W70" s="150">
        <f>Weather!H190</f>
        <v>3.5999999999999979</v>
      </c>
      <c r="X70" s="150">
        <f>Weather!I190</f>
        <v>104.9</v>
      </c>
      <c r="Y70" s="150">
        <f>Weather!J190</f>
        <v>0.19999999999999929</v>
      </c>
      <c r="Z70" s="150">
        <f>Weather!K190</f>
        <v>161.5</v>
      </c>
      <c r="AA70" s="150">
        <f>Weather!L190</f>
        <v>0</v>
      </c>
      <c r="AB70" s="150">
        <f>Weather!M190</f>
        <v>221.29999999999998</v>
      </c>
      <c r="AC70" s="150">
        <f>Weather!N190</f>
        <v>0</v>
      </c>
      <c r="AD70" s="150">
        <f>Weather!O190</f>
        <v>281.3</v>
      </c>
      <c r="AE70" s="150">
        <f>Weather!P190</f>
        <v>0</v>
      </c>
      <c r="AF70" s="150">
        <f>Weather!Q190</f>
        <v>341.29999999999995</v>
      </c>
      <c r="AG70" s="151">
        <f t="shared" si="52"/>
        <v>30</v>
      </c>
      <c r="AH70" s="151">
        <v>21</v>
      </c>
      <c r="AI70">
        <f t="shared" ref="AI70:AV70" si="87">AI58</f>
        <v>0</v>
      </c>
      <c r="AJ70">
        <f t="shared" si="87"/>
        <v>0</v>
      </c>
      <c r="AK70">
        <f t="shared" si="87"/>
        <v>0</v>
      </c>
      <c r="AL70">
        <f t="shared" si="87"/>
        <v>0</v>
      </c>
      <c r="AM70">
        <f t="shared" si="87"/>
        <v>0</v>
      </c>
      <c r="AN70">
        <f t="shared" si="87"/>
        <v>0</v>
      </c>
      <c r="AO70">
        <f t="shared" si="87"/>
        <v>0</v>
      </c>
      <c r="AP70">
        <f t="shared" si="87"/>
        <v>0</v>
      </c>
      <c r="AQ70">
        <f t="shared" si="87"/>
        <v>1</v>
      </c>
      <c r="AR70">
        <f t="shared" si="87"/>
        <v>0</v>
      </c>
      <c r="AS70">
        <f t="shared" si="87"/>
        <v>0</v>
      </c>
      <c r="AT70">
        <f t="shared" si="87"/>
        <v>0</v>
      </c>
      <c r="AU70">
        <f t="shared" si="87"/>
        <v>0</v>
      </c>
      <c r="AV70">
        <f t="shared" si="87"/>
        <v>1</v>
      </c>
      <c r="AW70">
        <f t="shared" si="76"/>
        <v>1</v>
      </c>
      <c r="AX70">
        <f t="shared" si="85"/>
        <v>69</v>
      </c>
      <c r="AY70" s="154">
        <v>0</v>
      </c>
      <c r="AZ70" s="154">
        <f t="shared" si="77"/>
        <v>0</v>
      </c>
      <c r="BA70" s="155">
        <f t="shared" si="78"/>
        <v>0</v>
      </c>
      <c r="BB70" s="155">
        <f t="shared" si="79"/>
        <v>0</v>
      </c>
      <c r="BC70" s="155">
        <f t="shared" si="80"/>
        <v>0</v>
      </c>
      <c r="BD70" s="155">
        <f t="shared" si="81"/>
        <v>0</v>
      </c>
      <c r="BE70" s="236">
        <f t="shared" si="82"/>
        <v>11004.010000000002</v>
      </c>
      <c r="BF70">
        <f>X70*'Rate Class Customer Model'!O70</f>
        <v>1079893.0500000007</v>
      </c>
      <c r="BG70" s="123">
        <f t="shared" si="83"/>
        <v>1238265.8249999995</v>
      </c>
      <c r="BH70">
        <f t="shared" si="67"/>
        <v>1</v>
      </c>
    </row>
    <row r="71" spans="1:60" x14ac:dyDescent="0.2">
      <c r="A71" s="3">
        <v>42644</v>
      </c>
      <c r="B71">
        <f t="shared" si="70"/>
        <v>2016</v>
      </c>
      <c r="C71">
        <f t="shared" si="71"/>
        <v>10</v>
      </c>
      <c r="D71" s="46">
        <f>Purchases!D131</f>
        <v>16662107.689999999</v>
      </c>
      <c r="E71" s="46">
        <f>Purchases!E131</f>
        <v>4626531.6867999993</v>
      </c>
      <c r="F71" s="46">
        <f ca="1">CDM!D87</f>
        <v>583877.40139142028</v>
      </c>
      <c r="G71" s="46">
        <f t="shared" ca="1" si="72"/>
        <v>17245985.091391418</v>
      </c>
      <c r="H71" s="46">
        <f t="shared" si="73"/>
        <v>12035576.0032</v>
      </c>
      <c r="I71" s="46">
        <f t="shared" ca="1" si="74"/>
        <v>12619453.404591419</v>
      </c>
      <c r="J71" s="46">
        <f>'Rate Class Customer Model'!V71</f>
        <v>14591.5</v>
      </c>
      <c r="K71" s="109">
        <f>IF(C71=12,VLOOKUP(B71,'Rate Class Customer Model'!$A$32:$J$44,10,FALSE),(VLOOKUP(B71+1,'Rate Class Customer Model'!$A$32:$J$44,10,FALSE)-VLOOKUP(B71,'Rate Class Customer Model'!$A$32:$J$44,10,FALSE))/12+K70)</f>
        <v>11815.166666666661</v>
      </c>
      <c r="L71" s="152">
        <f>Economic!C71</f>
        <v>692620.80000000005</v>
      </c>
      <c r="M71" s="152">
        <f>Economic!E71</f>
        <v>155.52393858595201</v>
      </c>
      <c r="N71" s="152">
        <f>Economic!F71</f>
        <v>7006.2</v>
      </c>
      <c r="O71" s="152">
        <f>Economic!G71</f>
        <v>7033.4</v>
      </c>
      <c r="P71" s="152">
        <f>Economic!H71</f>
        <v>166.8</v>
      </c>
      <c r="Q71" s="152">
        <f>Economic!I71</f>
        <v>169.2</v>
      </c>
      <c r="R71" s="149">
        <f>Weather!C191</f>
        <v>12.867741935483869</v>
      </c>
      <c r="S71" s="150">
        <f>Weather!D191</f>
        <v>224.6</v>
      </c>
      <c r="T71" s="150">
        <f>Weather!E191</f>
        <v>3.5</v>
      </c>
      <c r="U71" s="150">
        <f>Weather!F191</f>
        <v>173.20000000000002</v>
      </c>
      <c r="V71" s="150">
        <f>Weather!G191</f>
        <v>14.099999999999998</v>
      </c>
      <c r="W71" s="150">
        <f>Weather!H191</f>
        <v>127</v>
      </c>
      <c r="X71" s="150">
        <f>Weather!I191</f>
        <v>29.9</v>
      </c>
      <c r="Y71" s="150">
        <f>Weather!J191</f>
        <v>88.9</v>
      </c>
      <c r="Z71" s="150">
        <f>Weather!K191</f>
        <v>53.79999999999999</v>
      </c>
      <c r="AA71" s="150">
        <f>Weather!L191</f>
        <v>55.9</v>
      </c>
      <c r="AB71" s="150">
        <f>Weather!M191</f>
        <v>82.799999999999983</v>
      </c>
      <c r="AC71" s="150">
        <f>Weather!N191</f>
        <v>29.8</v>
      </c>
      <c r="AD71" s="150">
        <f>Weather!O191</f>
        <v>118.69999999999999</v>
      </c>
      <c r="AE71" s="150">
        <f>Weather!P191</f>
        <v>11.399999999999999</v>
      </c>
      <c r="AF71" s="150">
        <f>Weather!Q191</f>
        <v>162.29999999999998</v>
      </c>
      <c r="AG71" s="151">
        <f t="shared" si="52"/>
        <v>31</v>
      </c>
      <c r="AH71" s="151">
        <v>20</v>
      </c>
      <c r="AI71">
        <f t="shared" ref="AI71:AV71" si="88">AI59</f>
        <v>0</v>
      </c>
      <c r="AJ71">
        <f t="shared" si="88"/>
        <v>0</v>
      </c>
      <c r="AK71">
        <f t="shared" si="88"/>
        <v>0</v>
      </c>
      <c r="AL71">
        <f t="shared" si="88"/>
        <v>0</v>
      </c>
      <c r="AM71">
        <f t="shared" si="88"/>
        <v>0</v>
      </c>
      <c r="AN71">
        <f t="shared" si="88"/>
        <v>0</v>
      </c>
      <c r="AO71">
        <f t="shared" si="88"/>
        <v>0</v>
      </c>
      <c r="AP71">
        <f t="shared" si="88"/>
        <v>0</v>
      </c>
      <c r="AQ71">
        <f t="shared" si="88"/>
        <v>0</v>
      </c>
      <c r="AR71">
        <f t="shared" si="88"/>
        <v>1</v>
      </c>
      <c r="AS71">
        <f t="shared" si="88"/>
        <v>0</v>
      </c>
      <c r="AT71">
        <f t="shared" si="88"/>
        <v>0</v>
      </c>
      <c r="AU71">
        <f t="shared" si="88"/>
        <v>0</v>
      </c>
      <c r="AV71">
        <f t="shared" si="88"/>
        <v>1</v>
      </c>
      <c r="AW71">
        <f t="shared" si="76"/>
        <v>1</v>
      </c>
      <c r="AX71">
        <f t="shared" si="85"/>
        <v>70</v>
      </c>
      <c r="AY71" s="154">
        <v>0</v>
      </c>
      <c r="AZ71" s="154">
        <f t="shared" si="77"/>
        <v>0</v>
      </c>
      <c r="BA71" s="155">
        <f t="shared" si="78"/>
        <v>0</v>
      </c>
      <c r="BB71" s="155">
        <f t="shared" si="79"/>
        <v>0</v>
      </c>
      <c r="BC71" s="155">
        <f t="shared" si="80"/>
        <v>0</v>
      </c>
      <c r="BD71" s="155">
        <f t="shared" si="81"/>
        <v>0</v>
      </c>
      <c r="BE71" s="236">
        <f t="shared" si="82"/>
        <v>894.00999999999988</v>
      </c>
      <c r="BF71">
        <f>X71*'Rate Class Customer Model'!O71</f>
        <v>307979.96666666685</v>
      </c>
      <c r="BG71" s="123">
        <f t="shared" si="83"/>
        <v>353273.48333333316</v>
      </c>
      <c r="BH71">
        <f t="shared" si="67"/>
        <v>1</v>
      </c>
    </row>
    <row r="72" spans="1:60" x14ac:dyDescent="0.2">
      <c r="A72" s="3">
        <v>42675</v>
      </c>
      <c r="B72">
        <f t="shared" si="70"/>
        <v>2016</v>
      </c>
      <c r="C72">
        <f t="shared" si="71"/>
        <v>11</v>
      </c>
      <c r="D72" s="46">
        <f>Purchases!D132</f>
        <v>17715484.620000001</v>
      </c>
      <c r="E72" s="46">
        <f>Purchases!E132</f>
        <v>4446124.8939999994</v>
      </c>
      <c r="F72" s="46">
        <f ca="1">CDM!D88</f>
        <v>596414.20801600826</v>
      </c>
      <c r="G72" s="46">
        <f t="shared" ca="1" si="72"/>
        <v>18311898.828016009</v>
      </c>
      <c r="H72" s="46">
        <f t="shared" si="73"/>
        <v>13269359.726000002</v>
      </c>
      <c r="I72" s="46">
        <f t="shared" ca="1" si="74"/>
        <v>13865773.93401601</v>
      </c>
      <c r="J72" s="46">
        <f>'Rate Class Customer Model'!V72</f>
        <v>14607.75</v>
      </c>
      <c r="K72" s="109">
        <f>IF(C72=12,VLOOKUP(B72,'Rate Class Customer Model'!$A$32:$J$44,10,FALSE),(VLOOKUP(B72+1,'Rate Class Customer Model'!$A$32:$J$44,10,FALSE)-VLOOKUP(B72,'Rate Class Customer Model'!$A$32:$J$44,10,FALSE))/12+K71)</f>
        <v>11826.083333333327</v>
      </c>
      <c r="L72" s="152">
        <f>Economic!C72</f>
        <v>692620.80000000005</v>
      </c>
      <c r="M72" s="152">
        <f>Economic!E72</f>
        <v>155.81009895490448</v>
      </c>
      <c r="N72" s="152">
        <f>Economic!F72</f>
        <v>7018.5</v>
      </c>
      <c r="O72" s="152">
        <f>Economic!G72</f>
        <v>7026.9</v>
      </c>
      <c r="P72" s="152">
        <f>Economic!H72</f>
        <v>163.80000000000001</v>
      </c>
      <c r="Q72" s="152">
        <f>Economic!I72</f>
        <v>165.5</v>
      </c>
      <c r="R72" s="149">
        <f>Weather!C192</f>
        <v>7.49</v>
      </c>
      <c r="S72" s="150">
        <f>Weather!D192</f>
        <v>375.3</v>
      </c>
      <c r="T72" s="150">
        <f>Weather!E192</f>
        <v>0</v>
      </c>
      <c r="U72" s="150">
        <f>Weather!F192</f>
        <v>315.30000000000007</v>
      </c>
      <c r="V72" s="150">
        <f>Weather!G192</f>
        <v>0</v>
      </c>
      <c r="W72" s="150">
        <f>Weather!H192</f>
        <v>255.4</v>
      </c>
      <c r="X72" s="150">
        <f>Weather!I192</f>
        <v>0.10000000000000142</v>
      </c>
      <c r="Y72" s="150">
        <f>Weather!J192</f>
        <v>200.29999999999998</v>
      </c>
      <c r="Z72" s="150">
        <f>Weather!K192</f>
        <v>5.0000000000000018</v>
      </c>
      <c r="AA72" s="150">
        <f>Weather!L192</f>
        <v>146.9</v>
      </c>
      <c r="AB72" s="150">
        <f>Weather!M192</f>
        <v>11.600000000000001</v>
      </c>
      <c r="AC72" s="150">
        <f>Weather!N192</f>
        <v>98.199999999999989</v>
      </c>
      <c r="AD72" s="150">
        <f>Weather!O192</f>
        <v>22.900000000000002</v>
      </c>
      <c r="AE72" s="150">
        <f>Weather!P192</f>
        <v>60.900000000000006</v>
      </c>
      <c r="AF72" s="150">
        <f>Weather!Q192</f>
        <v>45.600000000000009</v>
      </c>
      <c r="AG72" s="151">
        <f t="shared" si="52"/>
        <v>30</v>
      </c>
      <c r="AH72" s="151">
        <v>22</v>
      </c>
      <c r="AI72">
        <f t="shared" ref="AI72:AV72" si="89">AI60</f>
        <v>0</v>
      </c>
      <c r="AJ72">
        <f t="shared" si="89"/>
        <v>0</v>
      </c>
      <c r="AK72">
        <f t="shared" si="89"/>
        <v>0</v>
      </c>
      <c r="AL72">
        <f t="shared" si="89"/>
        <v>0</v>
      </c>
      <c r="AM72">
        <f t="shared" si="89"/>
        <v>0</v>
      </c>
      <c r="AN72">
        <f t="shared" si="89"/>
        <v>0</v>
      </c>
      <c r="AO72">
        <f t="shared" si="89"/>
        <v>0</v>
      </c>
      <c r="AP72">
        <f t="shared" si="89"/>
        <v>0</v>
      </c>
      <c r="AQ72">
        <f t="shared" si="89"/>
        <v>0</v>
      </c>
      <c r="AR72">
        <f t="shared" si="89"/>
        <v>0</v>
      </c>
      <c r="AS72">
        <f t="shared" si="89"/>
        <v>1</v>
      </c>
      <c r="AT72">
        <f t="shared" si="89"/>
        <v>0</v>
      </c>
      <c r="AU72">
        <f t="shared" si="89"/>
        <v>0</v>
      </c>
      <c r="AV72">
        <f t="shared" si="89"/>
        <v>1</v>
      </c>
      <c r="AW72">
        <f t="shared" si="76"/>
        <v>1</v>
      </c>
      <c r="AX72">
        <f t="shared" si="85"/>
        <v>71</v>
      </c>
      <c r="AY72" s="154">
        <v>0</v>
      </c>
      <c r="AZ72" s="154">
        <f t="shared" si="77"/>
        <v>0</v>
      </c>
      <c r="BA72" s="155">
        <f t="shared" si="78"/>
        <v>0</v>
      </c>
      <c r="BB72" s="155">
        <f t="shared" si="79"/>
        <v>0</v>
      </c>
      <c r="BC72" s="155">
        <f t="shared" si="80"/>
        <v>0</v>
      </c>
      <c r="BD72" s="155">
        <f t="shared" si="81"/>
        <v>0</v>
      </c>
      <c r="BE72" s="236">
        <f t="shared" si="82"/>
        <v>1.0000000000000285E-2</v>
      </c>
      <c r="BF72">
        <f>X72*'Rate Class Customer Model'!O72</f>
        <v>1030.616666666682</v>
      </c>
      <c r="BG72" s="123">
        <f t="shared" si="83"/>
        <v>1182.6083333333495</v>
      </c>
      <c r="BH72">
        <f t="shared" si="67"/>
        <v>1</v>
      </c>
    </row>
    <row r="73" spans="1:60" x14ac:dyDescent="0.2">
      <c r="A73" s="3">
        <v>42705</v>
      </c>
      <c r="B73">
        <f t="shared" si="70"/>
        <v>2016</v>
      </c>
      <c r="C73">
        <f t="shared" si="71"/>
        <v>12</v>
      </c>
      <c r="D73" s="46">
        <f>Purchases!D133</f>
        <v>21539892.309999999</v>
      </c>
      <c r="E73" s="46">
        <f>Purchases!E133</f>
        <v>4857424.7469000006</v>
      </c>
      <c r="F73" s="46">
        <f ca="1">CDM!D89</f>
        <v>608951.01464059623</v>
      </c>
      <c r="G73" s="46">
        <f t="shared" ca="1" si="72"/>
        <v>22148843.324640594</v>
      </c>
      <c r="H73" s="46">
        <f t="shared" si="73"/>
        <v>16682467.563099999</v>
      </c>
      <c r="I73" s="46">
        <f t="shared" ca="1" si="74"/>
        <v>17291418.577740595</v>
      </c>
      <c r="J73" s="46">
        <f>'Rate Class Customer Model'!V73</f>
        <v>14624</v>
      </c>
      <c r="K73" s="109">
        <f>IF(C73=12,VLOOKUP(B73,'Rate Class Customer Model'!$A$32:$J$44,10,FALSE),(VLOOKUP(B73+1,'Rate Class Customer Model'!$A$32:$J$44,10,FALSE)-VLOOKUP(B73,'Rate Class Customer Model'!$A$32:$J$44,10,FALSE))/12+K72)</f>
        <v>11792</v>
      </c>
      <c r="L73" s="152">
        <f>Economic!C73</f>
        <v>692620.80000000005</v>
      </c>
      <c r="M73" s="152">
        <f>Economic!E73</f>
        <v>156.09625932385694</v>
      </c>
      <c r="N73" s="152">
        <f>Economic!F73</f>
        <v>7028.8</v>
      </c>
      <c r="O73" s="152">
        <f>Economic!G73</f>
        <v>7041.6</v>
      </c>
      <c r="P73" s="152">
        <f>Economic!H73</f>
        <v>161.19999999999999</v>
      </c>
      <c r="Q73" s="152">
        <f>Economic!I73</f>
        <v>162.5</v>
      </c>
      <c r="R73" s="149">
        <f>Weather!C193</f>
        <v>-2.1032258064516132</v>
      </c>
      <c r="S73" s="150">
        <f>Weather!D193</f>
        <v>685.19999999999993</v>
      </c>
      <c r="T73" s="150">
        <f>Weather!E193</f>
        <v>0</v>
      </c>
      <c r="U73" s="150">
        <f>Weather!F193</f>
        <v>623.19999999999993</v>
      </c>
      <c r="V73" s="150">
        <f>Weather!G193</f>
        <v>0</v>
      </c>
      <c r="W73" s="150">
        <f>Weather!H193</f>
        <v>561.20000000000005</v>
      </c>
      <c r="X73" s="150">
        <f>Weather!I193</f>
        <v>0</v>
      </c>
      <c r="Y73" s="150">
        <f>Weather!J193</f>
        <v>499.20000000000005</v>
      </c>
      <c r="Z73" s="150">
        <f>Weather!K193</f>
        <v>0</v>
      </c>
      <c r="AA73" s="150">
        <f>Weather!L193</f>
        <v>437.20000000000005</v>
      </c>
      <c r="AB73" s="150">
        <f>Weather!M193</f>
        <v>0</v>
      </c>
      <c r="AC73" s="150">
        <f>Weather!N193</f>
        <v>375.2</v>
      </c>
      <c r="AD73" s="150">
        <f>Weather!O193</f>
        <v>0</v>
      </c>
      <c r="AE73" s="150">
        <f>Weather!P193</f>
        <v>313.2</v>
      </c>
      <c r="AF73" s="150">
        <f>Weather!Q193</f>
        <v>0</v>
      </c>
      <c r="AG73" s="151">
        <f t="shared" si="52"/>
        <v>31</v>
      </c>
      <c r="AH73" s="151">
        <v>20</v>
      </c>
      <c r="AI73">
        <f t="shared" ref="AI73:AV73" si="90">AI61</f>
        <v>0</v>
      </c>
      <c r="AJ73">
        <f t="shared" si="90"/>
        <v>0</v>
      </c>
      <c r="AK73">
        <f t="shared" si="90"/>
        <v>0</v>
      </c>
      <c r="AL73">
        <f t="shared" si="90"/>
        <v>0</v>
      </c>
      <c r="AM73">
        <f t="shared" si="90"/>
        <v>0</v>
      </c>
      <c r="AN73">
        <f t="shared" si="90"/>
        <v>0</v>
      </c>
      <c r="AO73">
        <f t="shared" si="90"/>
        <v>0</v>
      </c>
      <c r="AP73">
        <f t="shared" si="90"/>
        <v>0</v>
      </c>
      <c r="AQ73">
        <f t="shared" si="90"/>
        <v>0</v>
      </c>
      <c r="AR73">
        <f t="shared" si="90"/>
        <v>0</v>
      </c>
      <c r="AS73">
        <f t="shared" si="90"/>
        <v>0</v>
      </c>
      <c r="AT73">
        <f t="shared" si="90"/>
        <v>1</v>
      </c>
      <c r="AU73">
        <f t="shared" si="90"/>
        <v>0</v>
      </c>
      <c r="AV73">
        <f t="shared" si="90"/>
        <v>0</v>
      </c>
      <c r="AW73">
        <f t="shared" si="76"/>
        <v>0</v>
      </c>
      <c r="AX73">
        <f t="shared" si="85"/>
        <v>72</v>
      </c>
      <c r="AY73" s="154">
        <v>0</v>
      </c>
      <c r="AZ73" s="154">
        <f t="shared" si="77"/>
        <v>0</v>
      </c>
      <c r="BA73" s="155">
        <f t="shared" si="78"/>
        <v>0</v>
      </c>
      <c r="BB73" s="155">
        <f t="shared" si="79"/>
        <v>0</v>
      </c>
      <c r="BC73" s="155">
        <f t="shared" si="80"/>
        <v>0</v>
      </c>
      <c r="BD73" s="155">
        <f t="shared" si="81"/>
        <v>0</v>
      </c>
      <c r="BE73" s="236">
        <f t="shared" si="82"/>
        <v>0</v>
      </c>
      <c r="BF73">
        <f>X73*'Rate Class Customer Model'!O73</f>
        <v>0</v>
      </c>
      <c r="BG73" s="123">
        <f t="shared" si="83"/>
        <v>0</v>
      </c>
      <c r="BH73">
        <f t="shared" si="67"/>
        <v>1</v>
      </c>
    </row>
    <row r="74" spans="1:60" x14ac:dyDescent="0.2">
      <c r="A74" s="3">
        <v>42736</v>
      </c>
      <c r="B74">
        <f t="shared" si="70"/>
        <v>2017</v>
      </c>
      <c r="C74">
        <f t="shared" si="71"/>
        <v>1</v>
      </c>
      <c r="D74" s="46">
        <f>Purchases!D134</f>
        <v>21332376.190000001</v>
      </c>
      <c r="E74" s="46">
        <f>Purchases!E134</f>
        <v>6043116.9052099995</v>
      </c>
      <c r="F74" s="46">
        <f ca="1">CDM!D90</f>
        <v>644967.00759663025</v>
      </c>
      <c r="G74" s="46">
        <f t="shared" ca="1" si="72"/>
        <v>21977343.197596632</v>
      </c>
      <c r="H74" s="46">
        <f t="shared" si="73"/>
        <v>15289259.284790002</v>
      </c>
      <c r="I74" s="46">
        <f t="shared" ca="1" si="74"/>
        <v>15934226.292386632</v>
      </c>
      <c r="J74" s="46">
        <f>'Rate Class Customer Model'!V74</f>
        <v>14635.166666666666</v>
      </c>
      <c r="K74" s="109">
        <f>IF(C74=12,VLOOKUP(B74,'Rate Class Customer Model'!$A$32:$J$44,10,FALSE),(VLOOKUP(B74+1,'Rate Class Customer Model'!$A$32:$J$44,10,FALSE)-VLOOKUP(B74,'Rate Class Customer Model'!$A$32:$J$44,10,FALSE))/12+K73)</f>
        <v>11803</v>
      </c>
      <c r="L74" s="152">
        <f>Economic!C74</f>
        <v>711695.1</v>
      </c>
      <c r="M74" s="152">
        <f>Economic!E74</f>
        <v>156.45449128368512</v>
      </c>
      <c r="N74" s="152">
        <f>Economic!F74</f>
        <v>7045.6</v>
      </c>
      <c r="O74" s="152">
        <f>Economic!G74</f>
        <v>7018.6</v>
      </c>
      <c r="P74" s="152">
        <f>Economic!H74</f>
        <v>161</v>
      </c>
      <c r="Q74" s="152">
        <f>Economic!I74</f>
        <v>160.69999999999999</v>
      </c>
      <c r="R74" s="149">
        <f>Weather!C194</f>
        <v>-0.84516129032258069</v>
      </c>
      <c r="S74" s="150">
        <f>Weather!D194</f>
        <v>646.20000000000005</v>
      </c>
      <c r="T74" s="150">
        <f>Weather!E194</f>
        <v>0</v>
      </c>
      <c r="U74" s="150">
        <f>Weather!F194</f>
        <v>584.19999999999993</v>
      </c>
      <c r="V74" s="150">
        <f>Weather!G194</f>
        <v>0</v>
      </c>
      <c r="W74" s="150">
        <f>Weather!H194</f>
        <v>522.19999999999993</v>
      </c>
      <c r="X74" s="150">
        <f>Weather!I194</f>
        <v>0</v>
      </c>
      <c r="Y74" s="150">
        <f>Weather!J194</f>
        <v>460.19999999999993</v>
      </c>
      <c r="Z74" s="150">
        <f>Weather!K194</f>
        <v>0</v>
      </c>
      <c r="AA74" s="150">
        <f>Weather!L194</f>
        <v>398.19999999999993</v>
      </c>
      <c r="AB74" s="150">
        <f>Weather!M194</f>
        <v>0</v>
      </c>
      <c r="AC74" s="150">
        <f>Weather!N194</f>
        <v>336.2</v>
      </c>
      <c r="AD74" s="150">
        <f>Weather!O194</f>
        <v>0</v>
      </c>
      <c r="AE74" s="150">
        <f>Weather!P194</f>
        <v>274.2</v>
      </c>
      <c r="AF74" s="150">
        <f>Weather!Q194</f>
        <v>0</v>
      </c>
      <c r="AG74" s="151">
        <f t="shared" si="52"/>
        <v>31</v>
      </c>
      <c r="AH74" s="151">
        <v>22</v>
      </c>
      <c r="AI74">
        <f t="shared" ref="AI74:AV74" si="91">AI62</f>
        <v>1</v>
      </c>
      <c r="AJ74">
        <f t="shared" si="91"/>
        <v>0</v>
      </c>
      <c r="AK74">
        <f t="shared" si="91"/>
        <v>0</v>
      </c>
      <c r="AL74">
        <f t="shared" si="91"/>
        <v>0</v>
      </c>
      <c r="AM74">
        <f t="shared" si="91"/>
        <v>0</v>
      </c>
      <c r="AN74">
        <f t="shared" si="91"/>
        <v>0</v>
      </c>
      <c r="AO74">
        <f t="shared" si="91"/>
        <v>0</v>
      </c>
      <c r="AP74">
        <f t="shared" si="91"/>
        <v>0</v>
      </c>
      <c r="AQ74">
        <f t="shared" si="91"/>
        <v>0</v>
      </c>
      <c r="AR74">
        <f t="shared" si="91"/>
        <v>0</v>
      </c>
      <c r="AS74">
        <f t="shared" si="91"/>
        <v>0</v>
      </c>
      <c r="AT74">
        <f t="shared" si="91"/>
        <v>0</v>
      </c>
      <c r="AU74">
        <f t="shared" si="91"/>
        <v>0</v>
      </c>
      <c r="AV74">
        <f t="shared" si="91"/>
        <v>0</v>
      </c>
      <c r="AW74">
        <f t="shared" si="76"/>
        <v>0</v>
      </c>
      <c r="AX74">
        <f t="shared" si="85"/>
        <v>73</v>
      </c>
      <c r="AY74" s="154">
        <v>0</v>
      </c>
      <c r="AZ74" s="154">
        <f t="shared" si="77"/>
        <v>0</v>
      </c>
      <c r="BA74" s="155">
        <f t="shared" si="78"/>
        <v>0</v>
      </c>
      <c r="BB74" s="155">
        <f t="shared" si="79"/>
        <v>0</v>
      </c>
      <c r="BC74" s="155">
        <f t="shared" si="80"/>
        <v>0</v>
      </c>
      <c r="BD74" s="155">
        <f t="shared" si="81"/>
        <v>0</v>
      </c>
      <c r="BE74" s="236">
        <f t="shared" si="82"/>
        <v>0</v>
      </c>
      <c r="BF74">
        <f>X74*'Rate Class Customer Model'!O74</f>
        <v>0</v>
      </c>
      <c r="BG74" s="123">
        <f t="shared" si="83"/>
        <v>0</v>
      </c>
      <c r="BH74">
        <f t="shared" si="67"/>
        <v>1</v>
      </c>
    </row>
    <row r="75" spans="1:60" x14ac:dyDescent="0.2">
      <c r="A75" s="3">
        <v>42767</v>
      </c>
      <c r="B75">
        <f t="shared" si="70"/>
        <v>2017</v>
      </c>
      <c r="C75">
        <f t="shared" si="71"/>
        <v>2</v>
      </c>
      <c r="D75" s="46">
        <f>Purchases!D135</f>
        <v>17869619.050000001</v>
      </c>
      <c r="E75" s="46">
        <f>Purchases!E135</f>
        <v>5773386.9743099995</v>
      </c>
      <c r="F75" s="46">
        <f ca="1">CDM!D91</f>
        <v>658375.01058807177</v>
      </c>
      <c r="G75" s="46">
        <f t="shared" ca="1" si="72"/>
        <v>18527994.060588073</v>
      </c>
      <c r="H75" s="46">
        <f t="shared" si="73"/>
        <v>12096232.075690001</v>
      </c>
      <c r="I75" s="46">
        <f t="shared" ca="1" si="74"/>
        <v>12754607.086278073</v>
      </c>
      <c r="J75" s="46">
        <f>'Rate Class Customer Model'!V75</f>
        <v>14646.333333333332</v>
      </c>
      <c r="K75" s="109">
        <f>IF(C75=12,VLOOKUP(B75,'Rate Class Customer Model'!$A$32:$J$44,10,FALSE),(VLOOKUP(B75+1,'Rate Class Customer Model'!$A$32:$J$44,10,FALSE)-VLOOKUP(B75,'Rate Class Customer Model'!$A$32:$J$44,10,FALSE))/12+K74)</f>
        <v>11814</v>
      </c>
      <c r="L75" s="152">
        <f>Economic!C75</f>
        <v>711695.1</v>
      </c>
      <c r="M75" s="152">
        <f>Economic!E75</f>
        <v>156.81272324351329</v>
      </c>
      <c r="N75" s="152">
        <f>Economic!F75</f>
        <v>7060.7</v>
      </c>
      <c r="O75" s="152">
        <f>Economic!G75</f>
        <v>6996</v>
      </c>
      <c r="P75" s="152">
        <f>Economic!H75</f>
        <v>160.6</v>
      </c>
      <c r="Q75" s="152">
        <f>Economic!I75</f>
        <v>158.80000000000001</v>
      </c>
      <c r="R75" s="149">
        <f>Weather!C195</f>
        <v>2.2607142857142857</v>
      </c>
      <c r="S75" s="150">
        <f>Weather!D195</f>
        <v>496.69999999999987</v>
      </c>
      <c r="T75" s="150">
        <f>Weather!E195</f>
        <v>0</v>
      </c>
      <c r="U75" s="150">
        <f>Weather!F195</f>
        <v>440.69999999999987</v>
      </c>
      <c r="V75" s="150">
        <f>Weather!G195</f>
        <v>0</v>
      </c>
      <c r="W75" s="150">
        <f>Weather!H195</f>
        <v>384.69999999999987</v>
      </c>
      <c r="X75" s="150">
        <f>Weather!I195</f>
        <v>0</v>
      </c>
      <c r="Y75" s="150">
        <f>Weather!J195</f>
        <v>328.69999999999993</v>
      </c>
      <c r="Z75" s="150">
        <f>Weather!K195</f>
        <v>0</v>
      </c>
      <c r="AA75" s="150">
        <f>Weather!L195</f>
        <v>272.7</v>
      </c>
      <c r="AB75" s="150">
        <f>Weather!M195</f>
        <v>0</v>
      </c>
      <c r="AC75" s="150">
        <f>Weather!N195</f>
        <v>221.09999999999997</v>
      </c>
      <c r="AD75" s="150">
        <f>Weather!O195</f>
        <v>4.4000000000000004</v>
      </c>
      <c r="AE75" s="150">
        <f>Weather!P195</f>
        <v>174.9</v>
      </c>
      <c r="AF75" s="150">
        <f>Weather!Q195</f>
        <v>14.200000000000001</v>
      </c>
      <c r="AG75" s="151">
        <f t="shared" si="52"/>
        <v>28</v>
      </c>
      <c r="AH75" s="151">
        <v>19</v>
      </c>
      <c r="AI75">
        <f t="shared" ref="AI75:AV75" si="92">AI63</f>
        <v>0</v>
      </c>
      <c r="AJ75">
        <f t="shared" si="92"/>
        <v>1</v>
      </c>
      <c r="AK75">
        <f t="shared" si="92"/>
        <v>0</v>
      </c>
      <c r="AL75">
        <f t="shared" si="92"/>
        <v>0</v>
      </c>
      <c r="AM75">
        <f t="shared" si="92"/>
        <v>0</v>
      </c>
      <c r="AN75">
        <f t="shared" si="92"/>
        <v>0</v>
      </c>
      <c r="AO75">
        <f t="shared" si="92"/>
        <v>0</v>
      </c>
      <c r="AP75">
        <f t="shared" si="92"/>
        <v>0</v>
      </c>
      <c r="AQ75">
        <f t="shared" si="92"/>
        <v>0</v>
      </c>
      <c r="AR75">
        <f t="shared" si="92"/>
        <v>0</v>
      </c>
      <c r="AS75">
        <f t="shared" si="92"/>
        <v>0</v>
      </c>
      <c r="AT75">
        <f t="shared" si="92"/>
        <v>0</v>
      </c>
      <c r="AU75">
        <f t="shared" si="92"/>
        <v>0</v>
      </c>
      <c r="AV75">
        <f t="shared" si="92"/>
        <v>0</v>
      </c>
      <c r="AW75">
        <f t="shared" si="76"/>
        <v>0</v>
      </c>
      <c r="AX75">
        <f t="shared" si="85"/>
        <v>74</v>
      </c>
      <c r="AY75" s="154">
        <v>0</v>
      </c>
      <c r="AZ75" s="154">
        <f t="shared" si="77"/>
        <v>0</v>
      </c>
      <c r="BA75" s="155">
        <f t="shared" si="78"/>
        <v>0</v>
      </c>
      <c r="BB75" s="155">
        <f t="shared" si="79"/>
        <v>0</v>
      </c>
      <c r="BC75" s="155">
        <f t="shared" si="80"/>
        <v>0</v>
      </c>
      <c r="BD75" s="155">
        <f t="shared" si="81"/>
        <v>0</v>
      </c>
      <c r="BE75" s="236">
        <f t="shared" si="82"/>
        <v>0</v>
      </c>
      <c r="BF75">
        <f>X75*'Rate Class Customer Model'!O75</f>
        <v>0</v>
      </c>
      <c r="BG75" s="123">
        <f t="shared" si="83"/>
        <v>0</v>
      </c>
      <c r="BH75">
        <f t="shared" si="67"/>
        <v>1</v>
      </c>
    </row>
    <row r="76" spans="1:60" x14ac:dyDescent="0.2">
      <c r="A76" s="3">
        <v>42795</v>
      </c>
      <c r="B76">
        <f t="shared" si="70"/>
        <v>2017</v>
      </c>
      <c r="C76">
        <f t="shared" si="71"/>
        <v>3</v>
      </c>
      <c r="D76" s="46">
        <f>Purchases!D136</f>
        <v>19357285.710000001</v>
      </c>
      <c r="E76" s="46">
        <f>Purchases!E136</f>
        <v>4532106.3259899998</v>
      </c>
      <c r="F76" s="46">
        <f ca="1">CDM!D92</f>
        <v>671783.01357951318</v>
      </c>
      <c r="G76" s="46">
        <f t="shared" ca="1" si="72"/>
        <v>20029068.723579515</v>
      </c>
      <c r="H76" s="46">
        <f t="shared" si="73"/>
        <v>14825179.384010002</v>
      </c>
      <c r="I76" s="46">
        <f t="shared" ca="1" si="74"/>
        <v>15496962.397589516</v>
      </c>
      <c r="J76" s="46">
        <f>'Rate Class Customer Model'!V76</f>
        <v>14657.499999999998</v>
      </c>
      <c r="K76" s="109">
        <f>IF(C76=12,VLOOKUP(B76,'Rate Class Customer Model'!$A$32:$J$44,10,FALSE),(VLOOKUP(B76+1,'Rate Class Customer Model'!$A$32:$J$44,10,FALSE)-VLOOKUP(B76,'Rate Class Customer Model'!$A$32:$J$44,10,FALSE))/12+K75)</f>
        <v>11825</v>
      </c>
      <c r="L76" s="152">
        <f>Economic!C76</f>
        <v>711695.1</v>
      </c>
      <c r="M76" s="152">
        <f>Economic!E76</f>
        <v>157.17095520334146</v>
      </c>
      <c r="N76" s="152">
        <f>Economic!F76</f>
        <v>7074.2</v>
      </c>
      <c r="O76" s="152">
        <f>Economic!G76</f>
        <v>6972</v>
      </c>
      <c r="P76" s="152">
        <f>Economic!H76</f>
        <v>160.6</v>
      </c>
      <c r="Q76" s="152">
        <f>Economic!I76</f>
        <v>157.6</v>
      </c>
      <c r="R76" s="149">
        <f>Weather!C196</f>
        <v>1.6354838709677419</v>
      </c>
      <c r="S76" s="150">
        <f>Weather!D196</f>
        <v>569.30000000000007</v>
      </c>
      <c r="T76" s="150">
        <f>Weather!E196</f>
        <v>0</v>
      </c>
      <c r="U76" s="150">
        <f>Weather!F196</f>
        <v>507.30000000000007</v>
      </c>
      <c r="V76" s="150">
        <f>Weather!G196</f>
        <v>0</v>
      </c>
      <c r="W76" s="150">
        <f>Weather!H196</f>
        <v>445.30000000000013</v>
      </c>
      <c r="X76" s="150">
        <f>Weather!I196</f>
        <v>0</v>
      </c>
      <c r="Y76" s="150">
        <f>Weather!J196</f>
        <v>383.30000000000007</v>
      </c>
      <c r="Z76" s="150">
        <f>Weather!K196</f>
        <v>0</v>
      </c>
      <c r="AA76" s="150">
        <f>Weather!L196</f>
        <v>322.30000000000007</v>
      </c>
      <c r="AB76" s="150">
        <f>Weather!M196</f>
        <v>1</v>
      </c>
      <c r="AC76" s="150">
        <f>Weather!N196</f>
        <v>264</v>
      </c>
      <c r="AD76" s="150">
        <f>Weather!O196</f>
        <v>4.6999999999999993</v>
      </c>
      <c r="AE76" s="150">
        <f>Weather!P196</f>
        <v>207.1</v>
      </c>
      <c r="AF76" s="150">
        <f>Weather!Q196</f>
        <v>9.7999999999999989</v>
      </c>
      <c r="AG76" s="151">
        <f t="shared" si="52"/>
        <v>31</v>
      </c>
      <c r="AH76" s="151">
        <v>23</v>
      </c>
      <c r="AI76">
        <f t="shared" ref="AI76:AV76" si="93">AI64</f>
        <v>0</v>
      </c>
      <c r="AJ76">
        <f t="shared" si="93"/>
        <v>0</v>
      </c>
      <c r="AK76">
        <f t="shared" si="93"/>
        <v>1</v>
      </c>
      <c r="AL76">
        <f t="shared" si="93"/>
        <v>0</v>
      </c>
      <c r="AM76">
        <f t="shared" si="93"/>
        <v>0</v>
      </c>
      <c r="AN76">
        <f t="shared" si="93"/>
        <v>0</v>
      </c>
      <c r="AO76">
        <f t="shared" si="93"/>
        <v>0</v>
      </c>
      <c r="AP76">
        <f t="shared" si="93"/>
        <v>0</v>
      </c>
      <c r="AQ76">
        <f t="shared" si="93"/>
        <v>0</v>
      </c>
      <c r="AR76">
        <f t="shared" si="93"/>
        <v>0</v>
      </c>
      <c r="AS76">
        <f t="shared" si="93"/>
        <v>0</v>
      </c>
      <c r="AT76">
        <f t="shared" si="93"/>
        <v>0</v>
      </c>
      <c r="AU76">
        <f t="shared" si="93"/>
        <v>1</v>
      </c>
      <c r="AV76">
        <f t="shared" si="93"/>
        <v>0</v>
      </c>
      <c r="AW76">
        <f t="shared" si="76"/>
        <v>1</v>
      </c>
      <c r="AX76">
        <f t="shared" si="85"/>
        <v>75</v>
      </c>
      <c r="AY76" s="154">
        <v>0</v>
      </c>
      <c r="AZ76" s="154">
        <f t="shared" si="77"/>
        <v>0</v>
      </c>
      <c r="BA76" s="155">
        <f t="shared" si="78"/>
        <v>0</v>
      </c>
      <c r="BB76" s="155">
        <f t="shared" si="79"/>
        <v>0</v>
      </c>
      <c r="BC76" s="155">
        <f t="shared" si="80"/>
        <v>0</v>
      </c>
      <c r="BD76" s="155">
        <f t="shared" si="81"/>
        <v>0</v>
      </c>
      <c r="BE76" s="236">
        <f t="shared" si="82"/>
        <v>0</v>
      </c>
      <c r="BF76">
        <f>X76*'Rate Class Customer Model'!O76</f>
        <v>0</v>
      </c>
      <c r="BG76" s="123">
        <f t="shared" si="83"/>
        <v>0</v>
      </c>
      <c r="BH76">
        <f t="shared" si="67"/>
        <v>1</v>
      </c>
    </row>
    <row r="77" spans="1:60" x14ac:dyDescent="0.2">
      <c r="A77" s="3">
        <v>42826</v>
      </c>
      <c r="B77">
        <f t="shared" si="70"/>
        <v>2017</v>
      </c>
      <c r="C77">
        <f t="shared" si="71"/>
        <v>4</v>
      </c>
      <c r="D77" s="46">
        <f>Purchases!D137</f>
        <v>15858266.67</v>
      </c>
      <c r="E77" s="46">
        <f>Purchases!E137</f>
        <v>4999470.1251299996</v>
      </c>
      <c r="F77" s="46">
        <f ca="1">CDM!D93</f>
        <v>685191.0165709547</v>
      </c>
      <c r="G77" s="46">
        <f t="shared" ca="1" si="72"/>
        <v>16543457.686570955</v>
      </c>
      <c r="H77" s="46">
        <f t="shared" si="73"/>
        <v>10858796.54487</v>
      </c>
      <c r="I77" s="46">
        <f t="shared" ca="1" si="74"/>
        <v>11543987.561440956</v>
      </c>
      <c r="J77" s="46">
        <f>'Rate Class Customer Model'!V77</f>
        <v>14668.666666666664</v>
      </c>
      <c r="K77" s="109">
        <f>IF(C77=12,VLOOKUP(B77,'Rate Class Customer Model'!$A$32:$J$44,10,FALSE),(VLOOKUP(B77+1,'Rate Class Customer Model'!$A$32:$J$44,10,FALSE)-VLOOKUP(B77,'Rate Class Customer Model'!$A$32:$J$44,10,FALSE))/12+K76)</f>
        <v>11836</v>
      </c>
      <c r="L77" s="152">
        <f>Economic!C77</f>
        <v>711695.1</v>
      </c>
      <c r="M77" s="152">
        <f>Economic!E77</f>
        <v>157.52918716316964</v>
      </c>
      <c r="N77" s="152">
        <f>Economic!F77</f>
        <v>7074.8</v>
      </c>
      <c r="O77" s="152">
        <f>Economic!G77</f>
        <v>6982.8</v>
      </c>
      <c r="P77" s="152">
        <f>Economic!H77</f>
        <v>159.6</v>
      </c>
      <c r="Q77" s="152">
        <f>Economic!I77</f>
        <v>156.80000000000001</v>
      </c>
      <c r="R77" s="149">
        <f>Weather!C197</f>
        <v>11.35</v>
      </c>
      <c r="S77" s="150">
        <f>Weather!D197</f>
        <v>259.50000000000006</v>
      </c>
      <c r="T77" s="150">
        <f>Weather!E197</f>
        <v>0</v>
      </c>
      <c r="U77" s="150">
        <f>Weather!F197</f>
        <v>200.50000000000003</v>
      </c>
      <c r="V77" s="150">
        <f>Weather!G197</f>
        <v>1</v>
      </c>
      <c r="W77" s="150">
        <f>Weather!H197</f>
        <v>147.39999999999995</v>
      </c>
      <c r="X77" s="150">
        <f>Weather!I197</f>
        <v>7.9000000000000021</v>
      </c>
      <c r="Y77" s="150">
        <f>Weather!J197</f>
        <v>100.79999999999997</v>
      </c>
      <c r="Z77" s="150">
        <f>Weather!K197</f>
        <v>21.300000000000004</v>
      </c>
      <c r="AA77" s="150">
        <f>Weather!L197</f>
        <v>59.800000000000011</v>
      </c>
      <c r="AB77" s="150">
        <f>Weather!M197</f>
        <v>40.300000000000004</v>
      </c>
      <c r="AC77" s="150">
        <f>Weather!N197</f>
        <v>28</v>
      </c>
      <c r="AD77" s="150">
        <f>Weather!O197</f>
        <v>68.5</v>
      </c>
      <c r="AE77" s="150">
        <f>Weather!P197</f>
        <v>9.5</v>
      </c>
      <c r="AF77" s="150">
        <f>Weather!Q197</f>
        <v>110.00000000000003</v>
      </c>
      <c r="AG77" s="151">
        <f t="shared" si="52"/>
        <v>30</v>
      </c>
      <c r="AH77" s="151">
        <v>19</v>
      </c>
      <c r="AI77">
        <f t="shared" ref="AI77:AV77" si="94">AI65</f>
        <v>0</v>
      </c>
      <c r="AJ77">
        <f t="shared" si="94"/>
        <v>0</v>
      </c>
      <c r="AK77">
        <f t="shared" si="94"/>
        <v>0</v>
      </c>
      <c r="AL77">
        <f t="shared" si="94"/>
        <v>1</v>
      </c>
      <c r="AM77">
        <f t="shared" si="94"/>
        <v>0</v>
      </c>
      <c r="AN77">
        <f t="shared" si="94"/>
        <v>0</v>
      </c>
      <c r="AO77">
        <f t="shared" si="94"/>
        <v>0</v>
      </c>
      <c r="AP77">
        <f t="shared" si="94"/>
        <v>0</v>
      </c>
      <c r="AQ77">
        <f t="shared" si="94"/>
        <v>0</v>
      </c>
      <c r="AR77">
        <f t="shared" si="94"/>
        <v>0</v>
      </c>
      <c r="AS77">
        <f t="shared" si="94"/>
        <v>0</v>
      </c>
      <c r="AT77">
        <f t="shared" si="94"/>
        <v>0</v>
      </c>
      <c r="AU77">
        <f t="shared" si="94"/>
        <v>1</v>
      </c>
      <c r="AV77">
        <f t="shared" si="94"/>
        <v>0</v>
      </c>
      <c r="AW77">
        <f t="shared" si="76"/>
        <v>1</v>
      </c>
      <c r="AX77">
        <f t="shared" si="85"/>
        <v>76</v>
      </c>
      <c r="AY77" s="154">
        <v>0</v>
      </c>
      <c r="AZ77" s="154">
        <f t="shared" si="77"/>
        <v>0</v>
      </c>
      <c r="BA77" s="155">
        <f t="shared" si="78"/>
        <v>0</v>
      </c>
      <c r="BB77" s="155">
        <f t="shared" si="79"/>
        <v>0</v>
      </c>
      <c r="BC77" s="155">
        <f t="shared" si="80"/>
        <v>0</v>
      </c>
      <c r="BD77" s="155">
        <f t="shared" si="81"/>
        <v>0</v>
      </c>
      <c r="BE77" s="236">
        <f t="shared" si="82"/>
        <v>62.410000000000032</v>
      </c>
      <c r="BF77">
        <f>X77*'Rate Class Customer Model'!O77</f>
        <v>81793.966666666674</v>
      </c>
      <c r="BG77" s="123">
        <f t="shared" si="83"/>
        <v>93504.400000000023</v>
      </c>
      <c r="BH77">
        <f t="shared" si="67"/>
        <v>1</v>
      </c>
    </row>
    <row r="78" spans="1:60" x14ac:dyDescent="0.2">
      <c r="A78" s="3">
        <v>42856</v>
      </c>
      <c r="B78">
        <f t="shared" si="70"/>
        <v>2017</v>
      </c>
      <c r="C78">
        <f t="shared" si="71"/>
        <v>5</v>
      </c>
      <c r="D78" s="46">
        <f>Purchases!D138</f>
        <v>16800623.809999999</v>
      </c>
      <c r="E78" s="46">
        <f>Purchases!E138</f>
        <v>4088277.3129600002</v>
      </c>
      <c r="F78" s="46">
        <f ca="1">CDM!D94</f>
        <v>698599.0195623961</v>
      </c>
      <c r="G78" s="46">
        <f t="shared" ca="1" si="72"/>
        <v>17499222.829562396</v>
      </c>
      <c r="H78" s="46">
        <f t="shared" si="73"/>
        <v>12712346.497039998</v>
      </c>
      <c r="I78" s="46">
        <f t="shared" ca="1" si="74"/>
        <v>13410945.516602395</v>
      </c>
      <c r="J78" s="46">
        <f>'Rate Class Customer Model'!V78</f>
        <v>14679.83333333333</v>
      </c>
      <c r="K78" s="109">
        <f>IF(C78=12,VLOOKUP(B78,'Rate Class Customer Model'!$A$32:$J$44,10,FALSE),(VLOOKUP(B78+1,'Rate Class Customer Model'!$A$32:$J$44,10,FALSE)-VLOOKUP(B78,'Rate Class Customer Model'!$A$32:$J$44,10,FALSE))/12+K77)</f>
        <v>11847</v>
      </c>
      <c r="L78" s="152">
        <f>Economic!C78</f>
        <v>711695.1</v>
      </c>
      <c r="M78" s="152">
        <f>Economic!E78</f>
        <v>157.88741912299781</v>
      </c>
      <c r="N78" s="152">
        <f>Economic!F78</f>
        <v>7080.7</v>
      </c>
      <c r="O78" s="152">
        <f>Economic!G78</f>
        <v>7047.4</v>
      </c>
      <c r="P78" s="152">
        <f>Economic!H78</f>
        <v>159.30000000000001</v>
      </c>
      <c r="Q78" s="152">
        <f>Economic!I78</f>
        <v>157.69999999999999</v>
      </c>
      <c r="R78" s="149">
        <f>Weather!C198</f>
        <v>14.206451612903226</v>
      </c>
      <c r="S78" s="150">
        <f>Weather!D198</f>
        <v>187.8</v>
      </c>
      <c r="T78" s="150">
        <f>Weather!E198</f>
        <v>8.1999999999999993</v>
      </c>
      <c r="U78" s="150">
        <f>Weather!F198</f>
        <v>135.5</v>
      </c>
      <c r="V78" s="150">
        <f>Weather!G198</f>
        <v>17.900000000000002</v>
      </c>
      <c r="W78" s="150">
        <f>Weather!H198</f>
        <v>93.700000000000017</v>
      </c>
      <c r="X78" s="150">
        <f>Weather!I198</f>
        <v>38.100000000000009</v>
      </c>
      <c r="Y78" s="150">
        <f>Weather!J198</f>
        <v>58.300000000000004</v>
      </c>
      <c r="Z78" s="150">
        <f>Weather!K198</f>
        <v>64.7</v>
      </c>
      <c r="AA78" s="150">
        <f>Weather!L198</f>
        <v>32.1</v>
      </c>
      <c r="AB78" s="150">
        <f>Weather!M198</f>
        <v>100.50000000000001</v>
      </c>
      <c r="AC78" s="150">
        <f>Weather!N198</f>
        <v>14.2</v>
      </c>
      <c r="AD78" s="150">
        <f>Weather!O198</f>
        <v>144.6</v>
      </c>
      <c r="AE78" s="150">
        <f>Weather!P198</f>
        <v>2.0000000000000009</v>
      </c>
      <c r="AF78" s="150">
        <f>Weather!Q198</f>
        <v>194.4</v>
      </c>
      <c r="AG78" s="151">
        <f t="shared" si="52"/>
        <v>31</v>
      </c>
      <c r="AH78" s="151">
        <v>22</v>
      </c>
      <c r="AI78">
        <f t="shared" ref="AI78:AV78" si="95">AI66</f>
        <v>0</v>
      </c>
      <c r="AJ78">
        <f t="shared" si="95"/>
        <v>0</v>
      </c>
      <c r="AK78">
        <f t="shared" si="95"/>
        <v>0</v>
      </c>
      <c r="AL78">
        <f t="shared" si="95"/>
        <v>0</v>
      </c>
      <c r="AM78">
        <f t="shared" si="95"/>
        <v>1</v>
      </c>
      <c r="AN78">
        <f t="shared" si="95"/>
        <v>0</v>
      </c>
      <c r="AO78">
        <f t="shared" si="95"/>
        <v>0</v>
      </c>
      <c r="AP78">
        <f t="shared" si="95"/>
        <v>0</v>
      </c>
      <c r="AQ78">
        <f t="shared" si="95"/>
        <v>0</v>
      </c>
      <c r="AR78">
        <f t="shared" si="95"/>
        <v>0</v>
      </c>
      <c r="AS78">
        <f t="shared" si="95"/>
        <v>0</v>
      </c>
      <c r="AT78">
        <f t="shared" si="95"/>
        <v>0</v>
      </c>
      <c r="AU78">
        <f t="shared" si="95"/>
        <v>1</v>
      </c>
      <c r="AV78">
        <f t="shared" si="95"/>
        <v>0</v>
      </c>
      <c r="AW78">
        <f t="shared" si="76"/>
        <v>1</v>
      </c>
      <c r="AX78">
        <f t="shared" si="85"/>
        <v>77</v>
      </c>
      <c r="AY78" s="154">
        <v>0</v>
      </c>
      <c r="AZ78" s="154">
        <f t="shared" si="77"/>
        <v>0</v>
      </c>
      <c r="BA78" s="155">
        <f t="shared" si="78"/>
        <v>0</v>
      </c>
      <c r="BB78" s="155">
        <f t="shared" si="79"/>
        <v>0</v>
      </c>
      <c r="BC78" s="155">
        <f t="shared" si="80"/>
        <v>0</v>
      </c>
      <c r="BD78" s="155">
        <f t="shared" si="81"/>
        <v>0</v>
      </c>
      <c r="BE78" s="236">
        <f t="shared" si="82"/>
        <v>1451.6100000000006</v>
      </c>
      <c r="BF78">
        <f>X78*'Rate Class Customer Model'!O78</f>
        <v>394871.57499999995</v>
      </c>
      <c r="BG78" s="123">
        <f t="shared" si="83"/>
        <v>451370.70000000013</v>
      </c>
      <c r="BH78">
        <f t="shared" si="67"/>
        <v>1</v>
      </c>
    </row>
    <row r="79" spans="1:60" x14ac:dyDescent="0.2">
      <c r="A79" s="3">
        <v>42887</v>
      </c>
      <c r="B79">
        <f t="shared" si="70"/>
        <v>2017</v>
      </c>
      <c r="C79">
        <f t="shared" si="71"/>
        <v>6</v>
      </c>
      <c r="D79" s="46">
        <f>Purchases!D139</f>
        <v>20337761.899999999</v>
      </c>
      <c r="E79" s="46">
        <f>Purchases!E139</f>
        <v>4284257.51064</v>
      </c>
      <c r="F79" s="46">
        <f ca="1">CDM!D95</f>
        <v>712007.02255383763</v>
      </c>
      <c r="G79" s="46">
        <f t="shared" ca="1" si="72"/>
        <v>21049768.922553837</v>
      </c>
      <c r="H79" s="46">
        <f t="shared" si="73"/>
        <v>16053504.389359999</v>
      </c>
      <c r="I79" s="46">
        <f t="shared" ca="1" si="74"/>
        <v>16765511.411913838</v>
      </c>
      <c r="J79" s="46">
        <f>'Rate Class Customer Model'!V79</f>
        <v>14690.999999999996</v>
      </c>
      <c r="K79" s="109">
        <f>IF(C79=12,VLOOKUP(B79,'Rate Class Customer Model'!$A$32:$J$44,10,FALSE),(VLOOKUP(B79+1,'Rate Class Customer Model'!$A$32:$J$44,10,FALSE)-VLOOKUP(B79,'Rate Class Customer Model'!$A$32:$J$44,10,FALSE))/12+K78)</f>
        <v>11858</v>
      </c>
      <c r="L79" s="152">
        <f>Economic!C79</f>
        <v>711695.1</v>
      </c>
      <c r="M79" s="152">
        <f>Economic!E79</f>
        <v>158.24565108282599</v>
      </c>
      <c r="N79" s="152">
        <f>Economic!F79</f>
        <v>7085.4</v>
      </c>
      <c r="O79" s="152">
        <f>Economic!G79</f>
        <v>7129.6</v>
      </c>
      <c r="P79" s="152">
        <f>Economic!H79</f>
        <v>160.6</v>
      </c>
      <c r="Q79" s="152">
        <f>Economic!I79</f>
        <v>161.19999999999999</v>
      </c>
      <c r="R79" s="149">
        <f>Weather!C199</f>
        <v>21.110000000000003</v>
      </c>
      <c r="S79" s="150">
        <f>Weather!D199</f>
        <v>31.899999999999995</v>
      </c>
      <c r="T79" s="150">
        <f>Weather!E199</f>
        <v>65.199999999999989</v>
      </c>
      <c r="U79" s="150">
        <f>Weather!F199</f>
        <v>9.1999999999999957</v>
      </c>
      <c r="V79" s="150">
        <f>Weather!G199</f>
        <v>102.50000000000003</v>
      </c>
      <c r="W79" s="150">
        <f>Weather!H199</f>
        <v>0</v>
      </c>
      <c r="X79" s="150">
        <f>Weather!I199</f>
        <v>153.29999999999998</v>
      </c>
      <c r="Y79" s="150">
        <f>Weather!J199</f>
        <v>0</v>
      </c>
      <c r="Z79" s="150">
        <f>Weather!K199</f>
        <v>213.29999999999998</v>
      </c>
      <c r="AA79" s="150">
        <f>Weather!L199</f>
        <v>0</v>
      </c>
      <c r="AB79" s="150">
        <f>Weather!M199</f>
        <v>273.3</v>
      </c>
      <c r="AC79" s="150">
        <f>Weather!N199</f>
        <v>0</v>
      </c>
      <c r="AD79" s="150">
        <f>Weather!O199</f>
        <v>333.30000000000007</v>
      </c>
      <c r="AE79" s="150">
        <f>Weather!P199</f>
        <v>0</v>
      </c>
      <c r="AF79" s="150">
        <f>Weather!Q199</f>
        <v>393.30000000000007</v>
      </c>
      <c r="AG79" s="151">
        <f t="shared" si="52"/>
        <v>30</v>
      </c>
      <c r="AH79" s="151">
        <v>22</v>
      </c>
      <c r="AI79">
        <f t="shared" ref="AI79:AV79" si="96">AI67</f>
        <v>0</v>
      </c>
      <c r="AJ79">
        <f t="shared" si="96"/>
        <v>0</v>
      </c>
      <c r="AK79">
        <f t="shared" si="96"/>
        <v>0</v>
      </c>
      <c r="AL79">
        <f t="shared" si="96"/>
        <v>0</v>
      </c>
      <c r="AM79">
        <f t="shared" si="96"/>
        <v>0</v>
      </c>
      <c r="AN79">
        <f t="shared" si="96"/>
        <v>1</v>
      </c>
      <c r="AO79">
        <f t="shared" si="96"/>
        <v>0</v>
      </c>
      <c r="AP79">
        <f t="shared" si="96"/>
        <v>0</v>
      </c>
      <c r="AQ79">
        <f t="shared" si="96"/>
        <v>0</v>
      </c>
      <c r="AR79">
        <f t="shared" si="96"/>
        <v>0</v>
      </c>
      <c r="AS79">
        <f t="shared" si="96"/>
        <v>0</v>
      </c>
      <c r="AT79">
        <f t="shared" si="96"/>
        <v>0</v>
      </c>
      <c r="AU79">
        <f t="shared" si="96"/>
        <v>0</v>
      </c>
      <c r="AV79">
        <f t="shared" si="96"/>
        <v>0</v>
      </c>
      <c r="AW79">
        <f t="shared" si="76"/>
        <v>0</v>
      </c>
      <c r="AX79">
        <f t="shared" si="85"/>
        <v>78</v>
      </c>
      <c r="AY79" s="154">
        <v>0</v>
      </c>
      <c r="AZ79" s="154">
        <f t="shared" si="77"/>
        <v>0</v>
      </c>
      <c r="BA79" s="155">
        <f t="shared" si="78"/>
        <v>0</v>
      </c>
      <c r="BB79" s="155">
        <f t="shared" si="79"/>
        <v>0</v>
      </c>
      <c r="BC79" s="155">
        <f t="shared" si="80"/>
        <v>0</v>
      </c>
      <c r="BD79" s="155">
        <f t="shared" si="81"/>
        <v>0</v>
      </c>
      <c r="BE79" s="236">
        <f t="shared" si="82"/>
        <v>23500.889999999996</v>
      </c>
      <c r="BF79">
        <f>X79*'Rate Class Customer Model'!O79</f>
        <v>1590410.8499999992</v>
      </c>
      <c r="BG79" s="123">
        <f t="shared" si="83"/>
        <v>1817831.4</v>
      </c>
      <c r="BH79">
        <f t="shared" si="67"/>
        <v>1</v>
      </c>
    </row>
    <row r="80" spans="1:60" x14ac:dyDescent="0.2">
      <c r="A80" s="3">
        <v>42917</v>
      </c>
      <c r="B80">
        <f t="shared" si="70"/>
        <v>2017</v>
      </c>
      <c r="C80">
        <f t="shared" si="71"/>
        <v>7</v>
      </c>
      <c r="D80" s="46">
        <f>Purchases!D140</f>
        <v>24007900</v>
      </c>
      <c r="E80" s="46">
        <f>Purchases!E140</f>
        <v>5215450.4659299999</v>
      </c>
      <c r="F80" s="46">
        <f ca="1">CDM!D96</f>
        <v>725415.02554527903</v>
      </c>
      <c r="G80" s="46">
        <f t="shared" ca="1" si="72"/>
        <v>24733315.02554528</v>
      </c>
      <c r="H80" s="46">
        <f t="shared" si="73"/>
        <v>18792449.53407</v>
      </c>
      <c r="I80" s="46">
        <f t="shared" ca="1" si="74"/>
        <v>19517864.55961528</v>
      </c>
      <c r="J80" s="46">
        <f>'Rate Class Customer Model'!V80</f>
        <v>14702.166666666662</v>
      </c>
      <c r="K80" s="109">
        <f>IF(C80=12,VLOOKUP(B80,'Rate Class Customer Model'!$A$32:$J$44,10,FALSE),(VLOOKUP(B80+1,'Rate Class Customer Model'!$A$32:$J$44,10,FALSE)-VLOOKUP(B80,'Rate Class Customer Model'!$A$32:$J$44,10,FALSE))/12+K79)</f>
        <v>11869</v>
      </c>
      <c r="L80" s="152">
        <f>Economic!C80</f>
        <v>711695.1</v>
      </c>
      <c r="M80" s="152">
        <f>Economic!E80</f>
        <v>158.60388304265416</v>
      </c>
      <c r="N80" s="152">
        <f>Economic!F80</f>
        <v>7099.9</v>
      </c>
      <c r="O80" s="152">
        <f>Economic!G80</f>
        <v>7195</v>
      </c>
      <c r="P80" s="152">
        <f>Economic!H80</f>
        <v>161</v>
      </c>
      <c r="Q80" s="152">
        <f>Economic!I80</f>
        <v>163.19999999999999</v>
      </c>
      <c r="R80" s="149">
        <f>Weather!C200</f>
        <v>22.41935483870968</v>
      </c>
      <c r="S80" s="150">
        <f>Weather!D200</f>
        <v>1</v>
      </c>
      <c r="T80" s="150">
        <f>Weather!E200</f>
        <v>76</v>
      </c>
      <c r="U80" s="150">
        <f>Weather!F200</f>
        <v>0</v>
      </c>
      <c r="V80" s="150">
        <f>Weather!G200</f>
        <v>137.00000000000003</v>
      </c>
      <c r="W80" s="150">
        <f>Weather!H200</f>
        <v>0</v>
      </c>
      <c r="X80" s="150">
        <f>Weather!I200</f>
        <v>198.99999999999997</v>
      </c>
      <c r="Y80" s="150">
        <f>Weather!J200</f>
        <v>0</v>
      </c>
      <c r="Z80" s="150">
        <f>Weather!K200</f>
        <v>260.99999999999994</v>
      </c>
      <c r="AA80" s="150">
        <f>Weather!L200</f>
        <v>0</v>
      </c>
      <c r="AB80" s="150">
        <f>Weather!M200</f>
        <v>323</v>
      </c>
      <c r="AC80" s="150">
        <f>Weather!N200</f>
        <v>0</v>
      </c>
      <c r="AD80" s="150">
        <f>Weather!O200</f>
        <v>385</v>
      </c>
      <c r="AE80" s="150">
        <f>Weather!P200</f>
        <v>0</v>
      </c>
      <c r="AF80" s="150">
        <f>Weather!Q200</f>
        <v>447</v>
      </c>
      <c r="AG80" s="151">
        <f t="shared" si="52"/>
        <v>31</v>
      </c>
      <c r="AH80" s="151">
        <v>20</v>
      </c>
      <c r="AI80">
        <f t="shared" ref="AI80:AV80" si="97">AI68</f>
        <v>0</v>
      </c>
      <c r="AJ80">
        <f t="shared" si="97"/>
        <v>0</v>
      </c>
      <c r="AK80">
        <f t="shared" si="97"/>
        <v>0</v>
      </c>
      <c r="AL80">
        <f t="shared" si="97"/>
        <v>0</v>
      </c>
      <c r="AM80">
        <f t="shared" si="97"/>
        <v>0</v>
      </c>
      <c r="AN80">
        <f t="shared" si="97"/>
        <v>0</v>
      </c>
      <c r="AO80">
        <f t="shared" si="97"/>
        <v>1</v>
      </c>
      <c r="AP80">
        <f t="shared" si="97"/>
        <v>0</v>
      </c>
      <c r="AQ80">
        <f t="shared" si="97"/>
        <v>0</v>
      </c>
      <c r="AR80">
        <f t="shared" si="97"/>
        <v>0</v>
      </c>
      <c r="AS80">
        <f t="shared" si="97"/>
        <v>0</v>
      </c>
      <c r="AT80">
        <f t="shared" si="97"/>
        <v>0</v>
      </c>
      <c r="AU80">
        <f t="shared" si="97"/>
        <v>0</v>
      </c>
      <c r="AV80">
        <f t="shared" si="97"/>
        <v>0</v>
      </c>
      <c r="AW80">
        <f t="shared" si="76"/>
        <v>0</v>
      </c>
      <c r="AX80">
        <f t="shared" si="85"/>
        <v>79</v>
      </c>
      <c r="AY80" s="154">
        <v>0</v>
      </c>
      <c r="AZ80" s="154">
        <f t="shared" si="77"/>
        <v>0</v>
      </c>
      <c r="BA80" s="155">
        <f t="shared" si="78"/>
        <v>0</v>
      </c>
      <c r="BB80" s="155">
        <f t="shared" si="79"/>
        <v>0</v>
      </c>
      <c r="BC80" s="155">
        <f t="shared" si="80"/>
        <v>0</v>
      </c>
      <c r="BD80" s="155">
        <f t="shared" si="81"/>
        <v>0</v>
      </c>
      <c r="BE80" s="236">
        <f t="shared" si="82"/>
        <v>39600.999999999985</v>
      </c>
      <c r="BF80">
        <f>X80*'Rate Class Customer Model'!O80</f>
        <v>2066598.4166666656</v>
      </c>
      <c r="BG80" s="123">
        <f t="shared" si="83"/>
        <v>2361930.9999999995</v>
      </c>
      <c r="BH80">
        <f t="shared" si="67"/>
        <v>1</v>
      </c>
    </row>
    <row r="81" spans="1:60" x14ac:dyDescent="0.2">
      <c r="A81" s="3">
        <v>42948</v>
      </c>
      <c r="B81">
        <f t="shared" si="70"/>
        <v>2017</v>
      </c>
      <c r="C81">
        <f t="shared" si="71"/>
        <v>8</v>
      </c>
      <c r="D81" s="46">
        <f>Purchases!D141</f>
        <v>22370466.670000002</v>
      </c>
      <c r="E81" s="46">
        <f>Purchases!E141</f>
        <v>6434256.0108200004</v>
      </c>
      <c r="F81" s="46">
        <f ca="1">CDM!D97</f>
        <v>738823.02853672043</v>
      </c>
      <c r="G81" s="46">
        <f t="shared" ca="1" si="72"/>
        <v>23109289.698536724</v>
      </c>
      <c r="H81" s="46">
        <f t="shared" si="73"/>
        <v>15936210.65918</v>
      </c>
      <c r="I81" s="46">
        <f t="shared" ca="1" si="74"/>
        <v>16675033.687716722</v>
      </c>
      <c r="J81" s="46">
        <f>'Rate Class Customer Model'!V81</f>
        <v>14713.333333333328</v>
      </c>
      <c r="K81" s="109">
        <f>IF(C81=12,VLOOKUP(B81,'Rate Class Customer Model'!$A$32:$J$44,10,FALSE),(VLOOKUP(B81+1,'Rate Class Customer Model'!$A$32:$J$44,10,FALSE)-VLOOKUP(B81,'Rate Class Customer Model'!$A$32:$J$44,10,FALSE))/12+K80)</f>
        <v>11880</v>
      </c>
      <c r="L81" s="152">
        <f>Economic!C81</f>
        <v>711695.1</v>
      </c>
      <c r="M81" s="152">
        <f>Economic!E81</f>
        <v>158.96211500248234</v>
      </c>
      <c r="N81" s="152">
        <f>Economic!F81</f>
        <v>7121.3</v>
      </c>
      <c r="O81" s="152">
        <f>Economic!G81</f>
        <v>7213.7</v>
      </c>
      <c r="P81" s="152">
        <f>Economic!H81</f>
        <v>164.6</v>
      </c>
      <c r="Q81" s="152">
        <f>Economic!I81</f>
        <v>167.5</v>
      </c>
      <c r="R81" s="149">
        <f>Weather!C201</f>
        <v>20.383870967741935</v>
      </c>
      <c r="S81" s="150">
        <f>Weather!D201</f>
        <v>22.899999999999995</v>
      </c>
      <c r="T81" s="150">
        <f>Weather!E201</f>
        <v>34.800000000000011</v>
      </c>
      <c r="U81" s="150">
        <f>Weather!F201</f>
        <v>6.6999999999999957</v>
      </c>
      <c r="V81" s="150">
        <f>Weather!G201</f>
        <v>80.600000000000009</v>
      </c>
      <c r="W81" s="150">
        <f>Weather!H201</f>
        <v>0.5</v>
      </c>
      <c r="X81" s="150">
        <f>Weather!I201</f>
        <v>136.4</v>
      </c>
      <c r="Y81" s="150">
        <f>Weather!J201</f>
        <v>0</v>
      </c>
      <c r="Z81" s="150">
        <f>Weather!K201</f>
        <v>197.89999999999998</v>
      </c>
      <c r="AA81" s="150">
        <f>Weather!L201</f>
        <v>0</v>
      </c>
      <c r="AB81" s="150">
        <f>Weather!M201</f>
        <v>259.89999999999998</v>
      </c>
      <c r="AC81" s="150">
        <f>Weather!N201</f>
        <v>0</v>
      </c>
      <c r="AD81" s="150">
        <f>Weather!O201</f>
        <v>321.90000000000009</v>
      </c>
      <c r="AE81" s="150">
        <f>Weather!P201</f>
        <v>0</v>
      </c>
      <c r="AF81" s="150">
        <f>Weather!Q201</f>
        <v>383.90000000000015</v>
      </c>
      <c r="AG81" s="151">
        <f t="shared" si="52"/>
        <v>31</v>
      </c>
      <c r="AH81" s="151">
        <v>22</v>
      </c>
      <c r="AI81">
        <f t="shared" ref="AI81:AV81" si="98">AI69</f>
        <v>0</v>
      </c>
      <c r="AJ81">
        <f t="shared" si="98"/>
        <v>0</v>
      </c>
      <c r="AK81">
        <f t="shared" si="98"/>
        <v>0</v>
      </c>
      <c r="AL81">
        <f t="shared" si="98"/>
        <v>0</v>
      </c>
      <c r="AM81">
        <f t="shared" si="98"/>
        <v>0</v>
      </c>
      <c r="AN81">
        <f t="shared" si="98"/>
        <v>0</v>
      </c>
      <c r="AO81">
        <f t="shared" si="98"/>
        <v>0</v>
      </c>
      <c r="AP81">
        <f t="shared" si="98"/>
        <v>1</v>
      </c>
      <c r="AQ81">
        <f t="shared" si="98"/>
        <v>0</v>
      </c>
      <c r="AR81">
        <f t="shared" si="98"/>
        <v>0</v>
      </c>
      <c r="AS81">
        <f t="shared" si="98"/>
        <v>0</v>
      </c>
      <c r="AT81">
        <f t="shared" si="98"/>
        <v>0</v>
      </c>
      <c r="AU81">
        <f t="shared" si="98"/>
        <v>0</v>
      </c>
      <c r="AV81">
        <f t="shared" si="98"/>
        <v>0</v>
      </c>
      <c r="AW81">
        <f t="shared" si="76"/>
        <v>0</v>
      </c>
      <c r="AX81">
        <f t="shared" si="85"/>
        <v>80</v>
      </c>
      <c r="AY81" s="154">
        <v>0</v>
      </c>
      <c r="AZ81" s="154">
        <f t="shared" si="77"/>
        <v>0</v>
      </c>
      <c r="BA81" s="155">
        <f t="shared" si="78"/>
        <v>0</v>
      </c>
      <c r="BB81" s="155">
        <f t="shared" si="79"/>
        <v>0</v>
      </c>
      <c r="BC81" s="155">
        <f t="shared" si="80"/>
        <v>0</v>
      </c>
      <c r="BD81" s="155">
        <f t="shared" si="81"/>
        <v>0</v>
      </c>
      <c r="BE81" s="236">
        <f t="shared" si="82"/>
        <v>18604.960000000003</v>
      </c>
      <c r="BF81">
        <f>X81*'Rate Class Customer Model'!O81</f>
        <v>1417923.4666666661</v>
      </c>
      <c r="BG81" s="123">
        <f t="shared" si="83"/>
        <v>1620432</v>
      </c>
      <c r="BH81">
        <f t="shared" si="67"/>
        <v>1</v>
      </c>
    </row>
    <row r="82" spans="1:60" x14ac:dyDescent="0.2">
      <c r="A82" s="3">
        <v>42979</v>
      </c>
      <c r="B82">
        <f t="shared" si="70"/>
        <v>2017</v>
      </c>
      <c r="C82">
        <f t="shared" si="71"/>
        <v>9</v>
      </c>
      <c r="D82" s="46">
        <f>Purchases!D142</f>
        <v>19459266.670000002</v>
      </c>
      <c r="E82" s="46">
        <f>Purchases!E142</f>
        <v>5548386.131719999</v>
      </c>
      <c r="F82" s="46">
        <f ca="1">CDM!D98</f>
        <v>752231.03152816196</v>
      </c>
      <c r="G82" s="46">
        <f t="shared" ca="1" si="72"/>
        <v>20211497.701528165</v>
      </c>
      <c r="H82" s="46">
        <f t="shared" si="73"/>
        <v>13910880.538280003</v>
      </c>
      <c r="I82" s="46">
        <f t="shared" ca="1" si="74"/>
        <v>14663111.569808166</v>
      </c>
      <c r="J82" s="46">
        <f>'Rate Class Customer Model'!V82</f>
        <v>14724.499999999995</v>
      </c>
      <c r="K82" s="109">
        <f>IF(C82=12,VLOOKUP(B82,'Rate Class Customer Model'!$A$32:$J$44,10,FALSE),(VLOOKUP(B82+1,'Rate Class Customer Model'!$A$32:$J$44,10,FALSE)-VLOOKUP(B82,'Rate Class Customer Model'!$A$32:$J$44,10,FALSE))/12+K81)</f>
        <v>11891</v>
      </c>
      <c r="L82" s="152">
        <f>Economic!C82</f>
        <v>711695.1</v>
      </c>
      <c r="M82" s="152">
        <f>Economic!E82</f>
        <v>159.32034696231051</v>
      </c>
      <c r="N82" s="152">
        <f>Economic!F82</f>
        <v>7150.1</v>
      </c>
      <c r="O82" s="152">
        <f>Economic!G82</f>
        <v>7197</v>
      </c>
      <c r="P82" s="152">
        <f>Economic!H82</f>
        <v>165.5</v>
      </c>
      <c r="Q82" s="152">
        <f>Economic!I82</f>
        <v>168.1</v>
      </c>
      <c r="R82" s="149">
        <f>Weather!C202</f>
        <v>18.296666666666667</v>
      </c>
      <c r="S82" s="150">
        <f>Weather!D202</f>
        <v>79.399999999999991</v>
      </c>
      <c r="T82" s="150">
        <f>Weather!E202</f>
        <v>28.3</v>
      </c>
      <c r="U82" s="150">
        <f>Weather!F202</f>
        <v>47.5</v>
      </c>
      <c r="V82" s="150">
        <f>Weather!G202</f>
        <v>56.400000000000006</v>
      </c>
      <c r="W82" s="150">
        <f>Weather!H202</f>
        <v>22.1</v>
      </c>
      <c r="X82" s="150">
        <f>Weather!I202</f>
        <v>90.999999999999986</v>
      </c>
      <c r="Y82" s="150">
        <f>Weather!J202</f>
        <v>4.8000000000000007</v>
      </c>
      <c r="Z82" s="150">
        <f>Weather!K202</f>
        <v>133.70000000000002</v>
      </c>
      <c r="AA82" s="150">
        <f>Weather!L202</f>
        <v>0.59999999999999964</v>
      </c>
      <c r="AB82" s="150">
        <f>Weather!M202</f>
        <v>189.50000000000003</v>
      </c>
      <c r="AC82" s="150">
        <f>Weather!N202</f>
        <v>0</v>
      </c>
      <c r="AD82" s="150">
        <f>Weather!O202</f>
        <v>248.90000000000003</v>
      </c>
      <c r="AE82" s="150">
        <f>Weather!P202</f>
        <v>0</v>
      </c>
      <c r="AF82" s="150">
        <f>Weather!Q202</f>
        <v>308.89999999999992</v>
      </c>
      <c r="AG82" s="151">
        <f t="shared" si="52"/>
        <v>30</v>
      </c>
      <c r="AH82" s="151">
        <v>20</v>
      </c>
      <c r="AI82">
        <f t="shared" ref="AI82:AV82" si="99">AI70</f>
        <v>0</v>
      </c>
      <c r="AJ82">
        <f t="shared" si="99"/>
        <v>0</v>
      </c>
      <c r="AK82">
        <f t="shared" si="99"/>
        <v>0</v>
      </c>
      <c r="AL82">
        <f t="shared" si="99"/>
        <v>0</v>
      </c>
      <c r="AM82">
        <f t="shared" si="99"/>
        <v>0</v>
      </c>
      <c r="AN82">
        <f t="shared" si="99"/>
        <v>0</v>
      </c>
      <c r="AO82">
        <f t="shared" si="99"/>
        <v>0</v>
      </c>
      <c r="AP82">
        <f t="shared" si="99"/>
        <v>0</v>
      </c>
      <c r="AQ82">
        <f t="shared" si="99"/>
        <v>1</v>
      </c>
      <c r="AR82">
        <f t="shared" si="99"/>
        <v>0</v>
      </c>
      <c r="AS82">
        <f t="shared" si="99"/>
        <v>0</v>
      </c>
      <c r="AT82">
        <f t="shared" si="99"/>
        <v>0</v>
      </c>
      <c r="AU82">
        <f t="shared" si="99"/>
        <v>0</v>
      </c>
      <c r="AV82">
        <f t="shared" si="99"/>
        <v>1</v>
      </c>
      <c r="AW82">
        <f t="shared" si="76"/>
        <v>1</v>
      </c>
      <c r="AX82">
        <f t="shared" si="85"/>
        <v>81</v>
      </c>
      <c r="AY82" s="154">
        <v>0</v>
      </c>
      <c r="AZ82" s="154">
        <f t="shared" si="77"/>
        <v>0</v>
      </c>
      <c r="BA82" s="155">
        <f t="shared" si="78"/>
        <v>0</v>
      </c>
      <c r="BB82" s="155">
        <f t="shared" si="79"/>
        <v>0</v>
      </c>
      <c r="BC82" s="155">
        <f t="shared" si="80"/>
        <v>0</v>
      </c>
      <c r="BD82" s="155">
        <f t="shared" si="81"/>
        <v>0</v>
      </c>
      <c r="BE82" s="236">
        <f t="shared" si="82"/>
        <v>8280.9999999999982</v>
      </c>
      <c r="BF82">
        <f>X82*'Rate Class Customer Model'!O82</f>
        <v>946923.2499999993</v>
      </c>
      <c r="BG82" s="123">
        <f t="shared" si="83"/>
        <v>1082080.9999999998</v>
      </c>
      <c r="BH82">
        <f t="shared" si="67"/>
        <v>1</v>
      </c>
    </row>
    <row r="83" spans="1:60" x14ac:dyDescent="0.2">
      <c r="A83" s="3">
        <v>43009</v>
      </c>
      <c r="B83">
        <f t="shared" si="70"/>
        <v>2017</v>
      </c>
      <c r="C83">
        <f t="shared" si="71"/>
        <v>10</v>
      </c>
      <c r="D83" s="46">
        <f>Purchases!D143</f>
        <v>17820433.329999998</v>
      </c>
      <c r="E83" s="46">
        <f>Purchases!E143</f>
        <v>4645663.9166400004</v>
      </c>
      <c r="F83" s="46">
        <f ca="1">CDM!D99</f>
        <v>765639.03451960348</v>
      </c>
      <c r="G83" s="46">
        <f t="shared" ca="1" si="72"/>
        <v>18586072.364519604</v>
      </c>
      <c r="H83" s="46">
        <f t="shared" si="73"/>
        <v>13174769.413359998</v>
      </c>
      <c r="I83" s="46">
        <f t="shared" ca="1" si="74"/>
        <v>13940408.447879603</v>
      </c>
      <c r="J83" s="46">
        <f>'Rate Class Customer Model'!V83</f>
        <v>14735.666666666661</v>
      </c>
      <c r="K83" s="109">
        <f>IF(C83=12,VLOOKUP(B83,'Rate Class Customer Model'!$A$32:$J$44,10,FALSE),(VLOOKUP(B83+1,'Rate Class Customer Model'!$A$32:$J$44,10,FALSE)-VLOOKUP(B83,'Rate Class Customer Model'!$A$32:$J$44,10,FALSE))/12+K82)</f>
        <v>11902</v>
      </c>
      <c r="L83" s="152">
        <f>Economic!C83</f>
        <v>711695.1</v>
      </c>
      <c r="M83" s="152">
        <f>Economic!E83</f>
        <v>159.67857892213868</v>
      </c>
      <c r="N83" s="152">
        <f>Economic!F83</f>
        <v>7170.5</v>
      </c>
      <c r="O83" s="152">
        <f>Economic!G83</f>
        <v>7193.7</v>
      </c>
      <c r="P83" s="152">
        <f>Economic!H83</f>
        <v>163.1</v>
      </c>
      <c r="Q83" s="152">
        <f>Economic!I83</f>
        <v>165.1</v>
      </c>
      <c r="R83" s="149">
        <f>Weather!C203</f>
        <v>13.496774193548386</v>
      </c>
      <c r="S83" s="150">
        <f>Weather!D203</f>
        <v>206</v>
      </c>
      <c r="T83" s="150">
        <f>Weather!E203</f>
        <v>4.4000000000000021</v>
      </c>
      <c r="U83" s="150">
        <f>Weather!F203</f>
        <v>151.59999999999997</v>
      </c>
      <c r="V83" s="150">
        <f>Weather!G203</f>
        <v>12.000000000000004</v>
      </c>
      <c r="W83" s="150">
        <f>Weather!H203</f>
        <v>105.10000000000001</v>
      </c>
      <c r="X83" s="150">
        <f>Weather!I203</f>
        <v>27.5</v>
      </c>
      <c r="Y83" s="150">
        <f>Weather!J203</f>
        <v>71</v>
      </c>
      <c r="Z83" s="150">
        <f>Weather!K203</f>
        <v>55.4</v>
      </c>
      <c r="AA83" s="150">
        <f>Weather!L203</f>
        <v>45</v>
      </c>
      <c r="AB83" s="150">
        <f>Weather!M203</f>
        <v>91.399999999999991</v>
      </c>
      <c r="AC83" s="150">
        <f>Weather!N203</f>
        <v>27.4</v>
      </c>
      <c r="AD83" s="150">
        <f>Weather!O203</f>
        <v>135.79999999999998</v>
      </c>
      <c r="AE83" s="150">
        <f>Weather!P203</f>
        <v>15.099999999999998</v>
      </c>
      <c r="AF83" s="150">
        <f>Weather!Q203</f>
        <v>185.49999999999997</v>
      </c>
      <c r="AG83" s="151">
        <f t="shared" si="52"/>
        <v>31</v>
      </c>
      <c r="AH83" s="151">
        <v>21</v>
      </c>
      <c r="AI83">
        <f t="shared" ref="AI83:AV83" si="100">AI71</f>
        <v>0</v>
      </c>
      <c r="AJ83">
        <f t="shared" si="100"/>
        <v>0</v>
      </c>
      <c r="AK83">
        <f t="shared" si="100"/>
        <v>0</v>
      </c>
      <c r="AL83">
        <f t="shared" si="100"/>
        <v>0</v>
      </c>
      <c r="AM83">
        <f t="shared" si="100"/>
        <v>0</v>
      </c>
      <c r="AN83">
        <f t="shared" si="100"/>
        <v>0</v>
      </c>
      <c r="AO83">
        <f t="shared" si="100"/>
        <v>0</v>
      </c>
      <c r="AP83">
        <f t="shared" si="100"/>
        <v>0</v>
      </c>
      <c r="AQ83">
        <f t="shared" si="100"/>
        <v>0</v>
      </c>
      <c r="AR83">
        <f t="shared" si="100"/>
        <v>1</v>
      </c>
      <c r="AS83">
        <f t="shared" si="100"/>
        <v>0</v>
      </c>
      <c r="AT83">
        <f t="shared" si="100"/>
        <v>0</v>
      </c>
      <c r="AU83">
        <f t="shared" si="100"/>
        <v>0</v>
      </c>
      <c r="AV83">
        <f t="shared" si="100"/>
        <v>1</v>
      </c>
      <c r="AW83">
        <f t="shared" si="76"/>
        <v>1</v>
      </c>
      <c r="AX83">
        <f t="shared" si="85"/>
        <v>82</v>
      </c>
      <c r="AY83" s="154">
        <v>0</v>
      </c>
      <c r="AZ83" s="154">
        <f t="shared" si="77"/>
        <v>0</v>
      </c>
      <c r="BA83" s="155">
        <f t="shared" si="78"/>
        <v>0</v>
      </c>
      <c r="BB83" s="155">
        <f t="shared" si="79"/>
        <v>0</v>
      </c>
      <c r="BC83" s="155">
        <f t="shared" si="80"/>
        <v>0</v>
      </c>
      <c r="BD83" s="155">
        <f t="shared" si="81"/>
        <v>0</v>
      </c>
      <c r="BE83" s="236">
        <f t="shared" si="82"/>
        <v>756.25</v>
      </c>
      <c r="BF83">
        <f>X83*'Rate Class Customer Model'!O83</f>
        <v>286444.58333333314</v>
      </c>
      <c r="BG83" s="123">
        <f t="shared" si="83"/>
        <v>327305</v>
      </c>
      <c r="BH83">
        <f t="shared" si="67"/>
        <v>1</v>
      </c>
    </row>
    <row r="84" spans="1:60" x14ac:dyDescent="0.2">
      <c r="A84" s="3">
        <v>43040</v>
      </c>
      <c r="B84">
        <f t="shared" si="70"/>
        <v>2017</v>
      </c>
      <c r="C84">
        <f t="shared" si="71"/>
        <v>11</v>
      </c>
      <c r="D84" s="46">
        <f>Purchases!D144</f>
        <v>18956833.329999998</v>
      </c>
      <c r="E84" s="46">
        <f>Purchases!E144</f>
        <v>4342402.4035</v>
      </c>
      <c r="F84" s="46">
        <f ca="1">CDM!D100</f>
        <v>779047.03751104488</v>
      </c>
      <c r="G84" s="46">
        <f t="shared" ca="1" si="72"/>
        <v>19735880.367511041</v>
      </c>
      <c r="H84" s="46">
        <f t="shared" si="73"/>
        <v>14614430.926499998</v>
      </c>
      <c r="I84" s="46">
        <f t="shared" ca="1" si="74"/>
        <v>15393477.964011041</v>
      </c>
      <c r="J84" s="46">
        <f>'Rate Class Customer Model'!V84</f>
        <v>14746.833333333327</v>
      </c>
      <c r="K84" s="109">
        <f>IF(C84=12,VLOOKUP(B84,'Rate Class Customer Model'!$A$32:$J$44,10,FALSE),(VLOOKUP(B84+1,'Rate Class Customer Model'!$A$32:$J$44,10,FALSE)-VLOOKUP(B84,'Rate Class Customer Model'!$A$32:$J$44,10,FALSE))/12+K83)</f>
        <v>11913</v>
      </c>
      <c r="L84" s="152">
        <f>Economic!C84</f>
        <v>711695.1</v>
      </c>
      <c r="M84" s="152">
        <f>Economic!E84</f>
        <v>160.03681088196686</v>
      </c>
      <c r="N84" s="152">
        <f>Economic!F84</f>
        <v>7189.6</v>
      </c>
      <c r="O84" s="152">
        <f>Economic!G84</f>
        <v>7194.2</v>
      </c>
      <c r="P84" s="152">
        <f>Economic!H84</f>
        <v>163.4</v>
      </c>
      <c r="Q84" s="152">
        <f>Economic!I84</f>
        <v>164.7</v>
      </c>
      <c r="R84" s="149">
        <f>Weather!C204</f>
        <v>4.2066666666666661</v>
      </c>
      <c r="S84" s="150">
        <f>Weather!D204</f>
        <v>473.8</v>
      </c>
      <c r="T84" s="150">
        <f>Weather!E204</f>
        <v>0</v>
      </c>
      <c r="U84" s="150">
        <f>Weather!F204</f>
        <v>413.8</v>
      </c>
      <c r="V84" s="150">
        <f>Weather!G204</f>
        <v>0</v>
      </c>
      <c r="W84" s="150">
        <f>Weather!H204</f>
        <v>353.8</v>
      </c>
      <c r="X84" s="150">
        <f>Weather!I204</f>
        <v>0</v>
      </c>
      <c r="Y84" s="150">
        <f>Weather!J204</f>
        <v>293.80000000000007</v>
      </c>
      <c r="Z84" s="150">
        <f>Weather!K204</f>
        <v>0</v>
      </c>
      <c r="AA84" s="150">
        <f>Weather!L204</f>
        <v>234.20000000000005</v>
      </c>
      <c r="AB84" s="150">
        <f>Weather!M204</f>
        <v>0.40000000000000036</v>
      </c>
      <c r="AC84" s="150">
        <f>Weather!N204</f>
        <v>177.9</v>
      </c>
      <c r="AD84" s="150">
        <f>Weather!O204</f>
        <v>4.1000000000000014</v>
      </c>
      <c r="AE84" s="150">
        <f>Weather!P204</f>
        <v>123.89999999999999</v>
      </c>
      <c r="AF84" s="150">
        <f>Weather!Q204</f>
        <v>10.100000000000001</v>
      </c>
      <c r="AG84" s="151">
        <f t="shared" si="52"/>
        <v>30</v>
      </c>
      <c r="AH84" s="151">
        <v>22</v>
      </c>
      <c r="AI84">
        <f t="shared" ref="AI84:AV84" si="101">AI72</f>
        <v>0</v>
      </c>
      <c r="AJ84">
        <f t="shared" si="101"/>
        <v>0</v>
      </c>
      <c r="AK84">
        <f t="shared" si="101"/>
        <v>0</v>
      </c>
      <c r="AL84">
        <f t="shared" si="101"/>
        <v>0</v>
      </c>
      <c r="AM84">
        <f t="shared" si="101"/>
        <v>0</v>
      </c>
      <c r="AN84">
        <f t="shared" si="101"/>
        <v>0</v>
      </c>
      <c r="AO84">
        <f t="shared" si="101"/>
        <v>0</v>
      </c>
      <c r="AP84">
        <f t="shared" si="101"/>
        <v>0</v>
      </c>
      <c r="AQ84">
        <f t="shared" si="101"/>
        <v>0</v>
      </c>
      <c r="AR84">
        <f t="shared" si="101"/>
        <v>0</v>
      </c>
      <c r="AS84">
        <f t="shared" si="101"/>
        <v>1</v>
      </c>
      <c r="AT84">
        <f t="shared" si="101"/>
        <v>0</v>
      </c>
      <c r="AU84">
        <f t="shared" si="101"/>
        <v>0</v>
      </c>
      <c r="AV84">
        <f t="shared" si="101"/>
        <v>1</v>
      </c>
      <c r="AW84">
        <f t="shared" si="76"/>
        <v>1</v>
      </c>
      <c r="AX84">
        <f t="shared" si="85"/>
        <v>83</v>
      </c>
      <c r="AY84" s="154">
        <v>0</v>
      </c>
      <c r="AZ84" s="154">
        <f t="shared" si="77"/>
        <v>0</v>
      </c>
      <c r="BA84" s="155">
        <f t="shared" si="78"/>
        <v>0</v>
      </c>
      <c r="BB84" s="155">
        <f t="shared" si="79"/>
        <v>0</v>
      </c>
      <c r="BC84" s="155">
        <f t="shared" si="80"/>
        <v>0</v>
      </c>
      <c r="BD84" s="155">
        <f t="shared" si="81"/>
        <v>0</v>
      </c>
      <c r="BE84" s="236">
        <f t="shared" si="82"/>
        <v>0</v>
      </c>
      <c r="BF84">
        <f>X84*'Rate Class Customer Model'!O84</f>
        <v>0</v>
      </c>
      <c r="BG84" s="123">
        <f t="shared" si="83"/>
        <v>0</v>
      </c>
      <c r="BH84">
        <f t="shared" si="67"/>
        <v>1</v>
      </c>
    </row>
    <row r="85" spans="1:60" x14ac:dyDescent="0.2">
      <c r="A85" s="3">
        <v>43070</v>
      </c>
      <c r="B85">
        <f t="shared" si="70"/>
        <v>2017</v>
      </c>
      <c r="C85">
        <f t="shared" si="71"/>
        <v>12</v>
      </c>
      <c r="D85" s="46">
        <f>Purchases!D145</f>
        <v>21888466.670000002</v>
      </c>
      <c r="E85" s="46">
        <f>Purchases!E145</f>
        <v>4764981.3563499991</v>
      </c>
      <c r="F85" s="46">
        <f ca="1">CDM!D101</f>
        <v>792455.04050248628</v>
      </c>
      <c r="G85" s="46">
        <f t="shared" ca="1" si="72"/>
        <v>22680921.710502487</v>
      </c>
      <c r="H85" s="46">
        <f t="shared" si="73"/>
        <v>17123485.313650005</v>
      </c>
      <c r="I85" s="46">
        <f t="shared" ca="1" si="74"/>
        <v>17915940.354152486</v>
      </c>
      <c r="J85" s="46">
        <f>'Rate Class Customer Model'!V85</f>
        <v>14758</v>
      </c>
      <c r="K85" s="109">
        <f>IF(C85=12,VLOOKUP(B85,'Rate Class Customer Model'!$A$32:$J$44,10,FALSE),(VLOOKUP(B85+1,'Rate Class Customer Model'!$A$32:$J$44,10,FALSE)-VLOOKUP(B85,'Rate Class Customer Model'!$A$32:$J$44,10,FALSE))/12+K84)</f>
        <v>11923</v>
      </c>
      <c r="L85" s="152">
        <f>Economic!C85</f>
        <v>711695.1</v>
      </c>
      <c r="M85" s="152">
        <f>Economic!E85</f>
        <v>160.39504284179503</v>
      </c>
      <c r="N85" s="152">
        <f>Economic!F85</f>
        <v>7203.1</v>
      </c>
      <c r="O85" s="152">
        <f>Economic!G85</f>
        <v>7213.4</v>
      </c>
      <c r="P85" s="152">
        <f>Economic!H85</f>
        <v>163.9</v>
      </c>
      <c r="Q85" s="152">
        <f>Economic!I85</f>
        <v>164.3</v>
      </c>
      <c r="R85" s="149">
        <f>Weather!C205</f>
        <v>-3.6774193548387095</v>
      </c>
      <c r="S85" s="150">
        <f>Weather!D205</f>
        <v>734.00000000000011</v>
      </c>
      <c r="T85" s="150">
        <f>Weather!E205</f>
        <v>0</v>
      </c>
      <c r="U85" s="150">
        <f>Weather!F205</f>
        <v>672.00000000000011</v>
      </c>
      <c r="V85" s="150">
        <f>Weather!G205</f>
        <v>0</v>
      </c>
      <c r="W85" s="150">
        <f>Weather!H205</f>
        <v>610.00000000000011</v>
      </c>
      <c r="X85" s="150">
        <f>Weather!I205</f>
        <v>0</v>
      </c>
      <c r="Y85" s="150">
        <f>Weather!J205</f>
        <v>548.00000000000011</v>
      </c>
      <c r="Z85" s="150">
        <f>Weather!K205</f>
        <v>0</v>
      </c>
      <c r="AA85" s="150">
        <f>Weather!L205</f>
        <v>486.00000000000006</v>
      </c>
      <c r="AB85" s="150">
        <f>Weather!M205</f>
        <v>0</v>
      </c>
      <c r="AC85" s="150">
        <f>Weather!N205</f>
        <v>424.00000000000006</v>
      </c>
      <c r="AD85" s="150">
        <f>Weather!O205</f>
        <v>0</v>
      </c>
      <c r="AE85" s="150">
        <f>Weather!P205</f>
        <v>362.00000000000006</v>
      </c>
      <c r="AF85" s="150">
        <f>Weather!Q205</f>
        <v>0</v>
      </c>
      <c r="AG85" s="151">
        <f t="shared" si="52"/>
        <v>31</v>
      </c>
      <c r="AH85" s="151">
        <v>19</v>
      </c>
      <c r="AI85">
        <f t="shared" ref="AI85:AV85" si="102">AI73</f>
        <v>0</v>
      </c>
      <c r="AJ85">
        <f t="shared" si="102"/>
        <v>0</v>
      </c>
      <c r="AK85">
        <f t="shared" si="102"/>
        <v>0</v>
      </c>
      <c r="AL85">
        <f t="shared" si="102"/>
        <v>0</v>
      </c>
      <c r="AM85">
        <f t="shared" si="102"/>
        <v>0</v>
      </c>
      <c r="AN85">
        <f t="shared" si="102"/>
        <v>0</v>
      </c>
      <c r="AO85">
        <f t="shared" si="102"/>
        <v>0</v>
      </c>
      <c r="AP85">
        <f t="shared" si="102"/>
        <v>0</v>
      </c>
      <c r="AQ85">
        <f t="shared" si="102"/>
        <v>0</v>
      </c>
      <c r="AR85">
        <f t="shared" si="102"/>
        <v>0</v>
      </c>
      <c r="AS85">
        <f t="shared" si="102"/>
        <v>0</v>
      </c>
      <c r="AT85">
        <f t="shared" si="102"/>
        <v>1</v>
      </c>
      <c r="AU85">
        <f t="shared" si="102"/>
        <v>0</v>
      </c>
      <c r="AV85">
        <f t="shared" si="102"/>
        <v>0</v>
      </c>
      <c r="AW85">
        <f t="shared" si="76"/>
        <v>0</v>
      </c>
      <c r="AX85">
        <f t="shared" si="85"/>
        <v>84</v>
      </c>
      <c r="AY85" s="154">
        <v>0</v>
      </c>
      <c r="AZ85" s="154">
        <f t="shared" si="77"/>
        <v>0</v>
      </c>
      <c r="BA85" s="155">
        <f t="shared" si="78"/>
        <v>0</v>
      </c>
      <c r="BB85" s="155">
        <f t="shared" si="79"/>
        <v>0</v>
      </c>
      <c r="BC85" s="155">
        <f t="shared" si="80"/>
        <v>0</v>
      </c>
      <c r="BD85" s="155">
        <f t="shared" si="81"/>
        <v>0</v>
      </c>
      <c r="BE85" s="236">
        <f t="shared" si="82"/>
        <v>0</v>
      </c>
      <c r="BF85">
        <f>X85*'Rate Class Customer Model'!O85</f>
        <v>0</v>
      </c>
      <c r="BG85" s="123">
        <f t="shared" si="83"/>
        <v>0</v>
      </c>
      <c r="BH85">
        <f t="shared" si="67"/>
        <v>1</v>
      </c>
    </row>
    <row r="86" spans="1:60" x14ac:dyDescent="0.2">
      <c r="A86" s="3">
        <v>43101</v>
      </c>
      <c r="B86">
        <f t="shared" si="70"/>
        <v>2018</v>
      </c>
      <c r="C86">
        <f t="shared" si="71"/>
        <v>1</v>
      </c>
      <c r="D86" s="46">
        <f>Purchases!D146</f>
        <v>22905166.670000002</v>
      </c>
      <c r="E86" s="46">
        <f>Purchases!E146</f>
        <v>6151832.5779499998</v>
      </c>
      <c r="F86" s="46">
        <f ca="1">CDM!D102</f>
        <v>838056.0469939328</v>
      </c>
      <c r="G86" s="46">
        <f t="shared" ca="1" si="72"/>
        <v>23743222.716993935</v>
      </c>
      <c r="H86" s="46">
        <f t="shared" si="73"/>
        <v>16753334.092050001</v>
      </c>
      <c r="I86" s="46">
        <f t="shared" ca="1" si="74"/>
        <v>17591390.139043935</v>
      </c>
      <c r="J86" s="46">
        <f>'Rate Class Customer Model'!V86</f>
        <v>14772.916666666666</v>
      </c>
      <c r="K86" s="109">
        <f>IF(C86=12,VLOOKUP(B86,'Rate Class Customer Model'!$A$32:$J$44,10,FALSE),(VLOOKUP(B86+1,'Rate Class Customer Model'!$A$32:$J$44,10,FALSE)-VLOOKUP(B86,'Rate Class Customer Model'!$A$32:$J$44,10,FALSE))/12+K85)</f>
        <v>11932.833333333334</v>
      </c>
      <c r="L86" s="152">
        <f>Economic!C86</f>
        <v>732426.3</v>
      </c>
      <c r="M86" s="152">
        <f>Economic!E86</f>
        <v>160.78439282609799</v>
      </c>
      <c r="N86" s="152">
        <f>Economic!F86</f>
        <v>7199.8</v>
      </c>
      <c r="O86" s="152">
        <f>Economic!G86</f>
        <v>7172.6</v>
      </c>
      <c r="P86" s="152">
        <f>Economic!H86</f>
        <v>166.5</v>
      </c>
      <c r="Q86" s="152">
        <f>Economic!I86</f>
        <v>165.8</v>
      </c>
      <c r="R86" s="149">
        <f>Weather!C206</f>
        <v>-4.7612903225806438</v>
      </c>
      <c r="S86" s="150">
        <f>Weather!D206</f>
        <v>767.60000000000014</v>
      </c>
      <c r="T86" s="150">
        <f>Weather!E206</f>
        <v>0</v>
      </c>
      <c r="U86" s="150">
        <f>Weather!F206</f>
        <v>705.60000000000014</v>
      </c>
      <c r="V86" s="150">
        <f>Weather!G206</f>
        <v>0</v>
      </c>
      <c r="W86" s="150">
        <f>Weather!H206</f>
        <v>643.6</v>
      </c>
      <c r="X86" s="150">
        <f>Weather!I206</f>
        <v>0</v>
      </c>
      <c r="Y86" s="150">
        <f>Weather!J206</f>
        <v>581.6</v>
      </c>
      <c r="Z86" s="150">
        <f>Weather!K206</f>
        <v>0</v>
      </c>
      <c r="AA86" s="150">
        <f>Weather!L206</f>
        <v>519.59999999999991</v>
      </c>
      <c r="AB86" s="150">
        <f>Weather!M206</f>
        <v>0</v>
      </c>
      <c r="AC86" s="150">
        <f>Weather!N206</f>
        <v>457.59999999999985</v>
      </c>
      <c r="AD86" s="150">
        <f>Weather!O206</f>
        <v>0</v>
      </c>
      <c r="AE86" s="150">
        <f>Weather!P206</f>
        <v>396.89999999999986</v>
      </c>
      <c r="AF86" s="150">
        <f>Weather!Q206</f>
        <v>1.3000000000000007</v>
      </c>
      <c r="AG86" s="151">
        <f t="shared" si="52"/>
        <v>31</v>
      </c>
      <c r="AH86" s="151">
        <v>22</v>
      </c>
      <c r="AI86">
        <f t="shared" ref="AI86:AV86" si="103">AI74</f>
        <v>1</v>
      </c>
      <c r="AJ86">
        <f t="shared" si="103"/>
        <v>0</v>
      </c>
      <c r="AK86">
        <f t="shared" si="103"/>
        <v>0</v>
      </c>
      <c r="AL86">
        <f t="shared" si="103"/>
        <v>0</v>
      </c>
      <c r="AM86">
        <f t="shared" si="103"/>
        <v>0</v>
      </c>
      <c r="AN86">
        <f t="shared" si="103"/>
        <v>0</v>
      </c>
      <c r="AO86">
        <f t="shared" si="103"/>
        <v>0</v>
      </c>
      <c r="AP86">
        <f t="shared" si="103"/>
        <v>0</v>
      </c>
      <c r="AQ86">
        <f t="shared" si="103"/>
        <v>0</v>
      </c>
      <c r="AR86">
        <f t="shared" si="103"/>
        <v>0</v>
      </c>
      <c r="AS86">
        <f t="shared" si="103"/>
        <v>0</v>
      </c>
      <c r="AT86">
        <f t="shared" si="103"/>
        <v>0</v>
      </c>
      <c r="AU86">
        <f t="shared" si="103"/>
        <v>0</v>
      </c>
      <c r="AV86">
        <f t="shared" si="103"/>
        <v>0</v>
      </c>
      <c r="AW86">
        <f t="shared" si="76"/>
        <v>0</v>
      </c>
      <c r="AX86">
        <f t="shared" si="85"/>
        <v>85</v>
      </c>
      <c r="AY86" s="154">
        <v>0</v>
      </c>
      <c r="AZ86" s="154">
        <f t="shared" si="77"/>
        <v>0</v>
      </c>
      <c r="BA86" s="155">
        <f t="shared" si="78"/>
        <v>0</v>
      </c>
      <c r="BB86" s="155">
        <f t="shared" si="79"/>
        <v>0</v>
      </c>
      <c r="BC86" s="155">
        <f t="shared" si="80"/>
        <v>0</v>
      </c>
      <c r="BD86" s="155">
        <f t="shared" si="81"/>
        <v>0</v>
      </c>
      <c r="BE86" s="236">
        <f t="shared" si="82"/>
        <v>0</v>
      </c>
      <c r="BF86">
        <f>X86*'Rate Class Customer Model'!O86</f>
        <v>0</v>
      </c>
      <c r="BG86" s="123">
        <f t="shared" si="83"/>
        <v>0</v>
      </c>
      <c r="BH86">
        <f t="shared" si="67"/>
        <v>1</v>
      </c>
    </row>
    <row r="87" spans="1:60" x14ac:dyDescent="0.2">
      <c r="A87" s="3">
        <v>43132</v>
      </c>
      <c r="B87">
        <f t="shared" si="70"/>
        <v>2018</v>
      </c>
      <c r="C87">
        <f t="shared" si="71"/>
        <v>2</v>
      </c>
      <c r="D87" s="46">
        <f>Purchases!D147</f>
        <v>19173200</v>
      </c>
      <c r="E87" s="46">
        <f>Purchases!E147</f>
        <v>6440644.0073600002</v>
      </c>
      <c r="F87" s="46">
        <f ca="1">CDM!D103</f>
        <v>838912.80951703142</v>
      </c>
      <c r="G87" s="46">
        <f t="shared" ca="1" si="72"/>
        <v>20012112.80951703</v>
      </c>
      <c r="H87" s="46">
        <f t="shared" si="73"/>
        <v>12732555.99264</v>
      </c>
      <c r="I87" s="46">
        <f t="shared" ca="1" si="74"/>
        <v>13571468.80215703</v>
      </c>
      <c r="J87" s="46">
        <f>'Rate Class Customer Model'!V87</f>
        <v>14787.833333333332</v>
      </c>
      <c r="K87" s="109">
        <f>IF(C87=12,VLOOKUP(B87,'Rate Class Customer Model'!$A$32:$J$44,10,FALSE),(VLOOKUP(B87+1,'Rate Class Customer Model'!$A$32:$J$44,10,FALSE)-VLOOKUP(B87,'Rate Class Customer Model'!$A$32:$J$44,10,FALSE))/12+K86)</f>
        <v>11942.666666666668</v>
      </c>
      <c r="L87" s="152">
        <f>Economic!C87</f>
        <v>732426.3</v>
      </c>
      <c r="M87" s="152">
        <f>Economic!E87</f>
        <v>161.17374281040094</v>
      </c>
      <c r="N87" s="152">
        <f>Economic!F87</f>
        <v>7189.2</v>
      </c>
      <c r="O87" s="152">
        <f>Economic!G87</f>
        <v>7125.8</v>
      </c>
      <c r="P87" s="152">
        <f>Economic!H87</f>
        <v>164.2</v>
      </c>
      <c r="Q87" s="152">
        <f>Economic!I87</f>
        <v>162.30000000000001</v>
      </c>
      <c r="R87" s="149">
        <f>Weather!C207</f>
        <v>-1.4464285714285716</v>
      </c>
      <c r="S87" s="150">
        <f>Weather!D207</f>
        <v>600.5</v>
      </c>
      <c r="T87" s="150">
        <f>Weather!E207</f>
        <v>0</v>
      </c>
      <c r="U87" s="150">
        <f>Weather!F207</f>
        <v>544.49999999999989</v>
      </c>
      <c r="V87" s="150">
        <f>Weather!G207</f>
        <v>0</v>
      </c>
      <c r="W87" s="150">
        <f>Weather!H207</f>
        <v>488.49999999999994</v>
      </c>
      <c r="X87" s="150">
        <f>Weather!I207</f>
        <v>0</v>
      </c>
      <c r="Y87" s="150">
        <f>Weather!J207</f>
        <v>432.49999999999994</v>
      </c>
      <c r="Z87" s="150">
        <f>Weather!K207</f>
        <v>0</v>
      </c>
      <c r="AA87" s="150">
        <f>Weather!L207</f>
        <v>377.5</v>
      </c>
      <c r="AB87" s="150">
        <f>Weather!M207</f>
        <v>1</v>
      </c>
      <c r="AC87" s="150">
        <f>Weather!N207</f>
        <v>323.5</v>
      </c>
      <c r="AD87" s="150">
        <f>Weather!O207</f>
        <v>3</v>
      </c>
      <c r="AE87" s="150">
        <f>Weather!P207</f>
        <v>270.39999999999998</v>
      </c>
      <c r="AF87" s="150">
        <f>Weather!Q207</f>
        <v>5.9</v>
      </c>
      <c r="AG87" s="151">
        <f t="shared" si="52"/>
        <v>28</v>
      </c>
      <c r="AH87" s="151">
        <v>19</v>
      </c>
      <c r="AI87">
        <f t="shared" ref="AI87:AV87" si="104">AI75</f>
        <v>0</v>
      </c>
      <c r="AJ87">
        <f t="shared" si="104"/>
        <v>1</v>
      </c>
      <c r="AK87">
        <f t="shared" si="104"/>
        <v>0</v>
      </c>
      <c r="AL87">
        <f t="shared" si="104"/>
        <v>0</v>
      </c>
      <c r="AM87">
        <f t="shared" si="104"/>
        <v>0</v>
      </c>
      <c r="AN87">
        <f t="shared" si="104"/>
        <v>0</v>
      </c>
      <c r="AO87">
        <f t="shared" si="104"/>
        <v>0</v>
      </c>
      <c r="AP87">
        <f t="shared" si="104"/>
        <v>0</v>
      </c>
      <c r="AQ87">
        <f t="shared" si="104"/>
        <v>0</v>
      </c>
      <c r="AR87">
        <f t="shared" si="104"/>
        <v>0</v>
      </c>
      <c r="AS87">
        <f t="shared" si="104"/>
        <v>0</v>
      </c>
      <c r="AT87">
        <f t="shared" si="104"/>
        <v>0</v>
      </c>
      <c r="AU87">
        <f t="shared" si="104"/>
        <v>0</v>
      </c>
      <c r="AV87">
        <f t="shared" si="104"/>
        <v>0</v>
      </c>
      <c r="AW87">
        <f t="shared" si="76"/>
        <v>0</v>
      </c>
      <c r="AX87">
        <f t="shared" si="85"/>
        <v>86</v>
      </c>
      <c r="AY87" s="154">
        <v>0</v>
      </c>
      <c r="AZ87" s="154">
        <f t="shared" si="77"/>
        <v>0</v>
      </c>
      <c r="BA87" s="155">
        <f t="shared" si="78"/>
        <v>0</v>
      </c>
      <c r="BB87" s="155">
        <f t="shared" si="79"/>
        <v>0</v>
      </c>
      <c r="BC87" s="155">
        <f t="shared" si="80"/>
        <v>0</v>
      </c>
      <c r="BD87" s="155">
        <f t="shared" si="81"/>
        <v>0</v>
      </c>
      <c r="BE87" s="236">
        <f t="shared" si="82"/>
        <v>0</v>
      </c>
      <c r="BF87">
        <f>X87*'Rate Class Customer Model'!O87</f>
        <v>0</v>
      </c>
      <c r="BG87" s="123">
        <f t="shared" si="83"/>
        <v>0</v>
      </c>
      <c r="BH87">
        <f t="shared" si="67"/>
        <v>1</v>
      </c>
    </row>
    <row r="88" spans="1:60" x14ac:dyDescent="0.2">
      <c r="A88" s="3">
        <v>43160</v>
      </c>
      <c r="B88">
        <f t="shared" si="70"/>
        <v>2018</v>
      </c>
      <c r="C88">
        <f t="shared" si="71"/>
        <v>3</v>
      </c>
      <c r="D88" s="46">
        <f>Purchases!D148</f>
        <v>19615300</v>
      </c>
      <c r="E88" s="46">
        <f>Purchases!E148</f>
        <v>5212612.5706799999</v>
      </c>
      <c r="F88" s="46">
        <f ca="1">CDM!D104</f>
        <v>839769.57204013004</v>
      </c>
      <c r="G88" s="46">
        <f t="shared" ca="1" si="72"/>
        <v>20455069.572040129</v>
      </c>
      <c r="H88" s="46">
        <f t="shared" si="73"/>
        <v>14402687.42932</v>
      </c>
      <c r="I88" s="46">
        <f t="shared" ca="1" si="74"/>
        <v>15242457.00136013</v>
      </c>
      <c r="J88" s="46">
        <f>'Rate Class Customer Model'!V88</f>
        <v>14802.749999999998</v>
      </c>
      <c r="K88" s="109">
        <f>IF(C88=12,VLOOKUP(B88,'Rate Class Customer Model'!$A$32:$J$44,10,FALSE),(VLOOKUP(B88+1,'Rate Class Customer Model'!$A$32:$J$44,10,FALSE)-VLOOKUP(B88,'Rate Class Customer Model'!$A$32:$J$44,10,FALSE))/12+K87)</f>
        <v>11952.500000000002</v>
      </c>
      <c r="L88" s="152">
        <f>Economic!C88</f>
        <v>732426.3</v>
      </c>
      <c r="M88" s="152">
        <f>Economic!E88</f>
        <v>161.56309279470389</v>
      </c>
      <c r="N88" s="152">
        <f>Economic!F88</f>
        <v>7185</v>
      </c>
      <c r="O88" s="152">
        <f>Economic!G88</f>
        <v>7082.3</v>
      </c>
      <c r="P88" s="152">
        <f>Economic!H88</f>
        <v>163.6</v>
      </c>
      <c r="Q88" s="152">
        <f>Economic!I88</f>
        <v>160.9</v>
      </c>
      <c r="R88" s="149">
        <f>Weather!C208</f>
        <v>0.76129032258064511</v>
      </c>
      <c r="S88" s="150">
        <f>Weather!D208</f>
        <v>596.4</v>
      </c>
      <c r="T88" s="150">
        <f>Weather!E208</f>
        <v>0</v>
      </c>
      <c r="U88" s="150">
        <f>Weather!F208</f>
        <v>534.40000000000009</v>
      </c>
      <c r="V88" s="150">
        <f>Weather!G208</f>
        <v>0</v>
      </c>
      <c r="W88" s="150">
        <f>Weather!H208</f>
        <v>472.40000000000003</v>
      </c>
      <c r="X88" s="150">
        <f>Weather!I208</f>
        <v>0</v>
      </c>
      <c r="Y88" s="150">
        <f>Weather!J208</f>
        <v>410.40000000000009</v>
      </c>
      <c r="Z88" s="150">
        <f>Weather!K208</f>
        <v>0</v>
      </c>
      <c r="AA88" s="150">
        <f>Weather!L208</f>
        <v>348.40000000000009</v>
      </c>
      <c r="AB88" s="150">
        <f>Weather!M208</f>
        <v>0</v>
      </c>
      <c r="AC88" s="150">
        <f>Weather!N208</f>
        <v>286.40000000000003</v>
      </c>
      <c r="AD88" s="150">
        <f>Weather!O208</f>
        <v>0</v>
      </c>
      <c r="AE88" s="150">
        <f>Weather!P208</f>
        <v>224.4</v>
      </c>
      <c r="AF88" s="150">
        <f>Weather!Q208</f>
        <v>0</v>
      </c>
      <c r="AG88" s="151">
        <f t="shared" si="52"/>
        <v>31</v>
      </c>
      <c r="AH88" s="151">
        <v>21</v>
      </c>
      <c r="AI88">
        <f t="shared" ref="AI88:AV88" si="105">AI76</f>
        <v>0</v>
      </c>
      <c r="AJ88">
        <f t="shared" si="105"/>
        <v>0</v>
      </c>
      <c r="AK88">
        <f t="shared" si="105"/>
        <v>1</v>
      </c>
      <c r="AL88">
        <f t="shared" si="105"/>
        <v>0</v>
      </c>
      <c r="AM88">
        <f t="shared" si="105"/>
        <v>0</v>
      </c>
      <c r="AN88">
        <f t="shared" si="105"/>
        <v>0</v>
      </c>
      <c r="AO88">
        <f t="shared" si="105"/>
        <v>0</v>
      </c>
      <c r="AP88">
        <f t="shared" si="105"/>
        <v>0</v>
      </c>
      <c r="AQ88">
        <f t="shared" si="105"/>
        <v>0</v>
      </c>
      <c r="AR88">
        <f t="shared" si="105"/>
        <v>0</v>
      </c>
      <c r="AS88">
        <f t="shared" si="105"/>
        <v>0</v>
      </c>
      <c r="AT88">
        <f t="shared" si="105"/>
        <v>0</v>
      </c>
      <c r="AU88">
        <f t="shared" si="105"/>
        <v>1</v>
      </c>
      <c r="AV88">
        <f t="shared" si="105"/>
        <v>0</v>
      </c>
      <c r="AW88">
        <f t="shared" si="76"/>
        <v>1</v>
      </c>
      <c r="AX88">
        <f t="shared" si="85"/>
        <v>87</v>
      </c>
      <c r="AY88" s="154">
        <v>0</v>
      </c>
      <c r="AZ88" s="154">
        <f t="shared" si="77"/>
        <v>0</v>
      </c>
      <c r="BA88" s="155">
        <f t="shared" si="78"/>
        <v>0</v>
      </c>
      <c r="BB88" s="155">
        <f t="shared" si="79"/>
        <v>0</v>
      </c>
      <c r="BC88" s="155">
        <f t="shared" si="80"/>
        <v>0</v>
      </c>
      <c r="BD88" s="155">
        <f t="shared" si="81"/>
        <v>0</v>
      </c>
      <c r="BE88" s="236">
        <f t="shared" si="82"/>
        <v>0</v>
      </c>
      <c r="BF88">
        <f>X88*'Rate Class Customer Model'!O88</f>
        <v>0</v>
      </c>
      <c r="BG88" s="123">
        <f t="shared" si="83"/>
        <v>0</v>
      </c>
      <c r="BH88">
        <f t="shared" si="67"/>
        <v>1</v>
      </c>
    </row>
    <row r="89" spans="1:60" x14ac:dyDescent="0.2">
      <c r="A89" s="3">
        <v>43191</v>
      </c>
      <c r="B89">
        <f t="shared" si="70"/>
        <v>2018</v>
      </c>
      <c r="C89">
        <f t="shared" si="71"/>
        <v>4</v>
      </c>
      <c r="D89" s="46">
        <f>Purchases!D149</f>
        <v>17899266.670000002</v>
      </c>
      <c r="E89" s="46">
        <f>Purchases!E149</f>
        <v>5278300.1626599999</v>
      </c>
      <c r="F89" s="46">
        <f ca="1">CDM!D105</f>
        <v>840626.33456322865</v>
      </c>
      <c r="G89" s="46">
        <f t="shared" ca="1" si="72"/>
        <v>18739893.004563231</v>
      </c>
      <c r="H89" s="46">
        <f t="shared" si="73"/>
        <v>12620966.507340003</v>
      </c>
      <c r="I89" s="46">
        <f t="shared" ca="1" si="74"/>
        <v>13461592.841903232</v>
      </c>
      <c r="J89" s="46">
        <f>'Rate Class Customer Model'!V89</f>
        <v>14817.666666666664</v>
      </c>
      <c r="K89" s="109">
        <f>IF(C89=12,VLOOKUP(B89,'Rate Class Customer Model'!$A$32:$J$44,10,FALSE),(VLOOKUP(B89+1,'Rate Class Customer Model'!$A$32:$J$44,10,FALSE)-VLOOKUP(B89,'Rate Class Customer Model'!$A$32:$J$44,10,FALSE))/12+K88)</f>
        <v>11962.333333333336</v>
      </c>
      <c r="L89" s="152">
        <f>Economic!C89</f>
        <v>732426.3</v>
      </c>
      <c r="M89" s="152">
        <f>Economic!E89</f>
        <v>161.95244277900684</v>
      </c>
      <c r="N89" s="152">
        <f>Economic!F89</f>
        <v>7198.2</v>
      </c>
      <c r="O89" s="152">
        <f>Economic!G89</f>
        <v>7108.4</v>
      </c>
      <c r="P89" s="152">
        <f>Economic!H89</f>
        <v>163.5</v>
      </c>
      <c r="Q89" s="152">
        <f>Economic!I89</f>
        <v>161.9</v>
      </c>
      <c r="R89" s="149">
        <f>Weather!C209</f>
        <v>4.8133333333333344</v>
      </c>
      <c r="S89" s="150">
        <f>Weather!D209</f>
        <v>455.59999999999997</v>
      </c>
      <c r="T89" s="150">
        <f>Weather!E209</f>
        <v>0</v>
      </c>
      <c r="U89" s="150">
        <f>Weather!F209</f>
        <v>395.6</v>
      </c>
      <c r="V89" s="150">
        <f>Weather!G209</f>
        <v>0</v>
      </c>
      <c r="W89" s="150">
        <f>Weather!H209</f>
        <v>335.59999999999997</v>
      </c>
      <c r="X89" s="150">
        <f>Weather!I209</f>
        <v>0</v>
      </c>
      <c r="Y89" s="150">
        <f>Weather!J209</f>
        <v>275.70000000000005</v>
      </c>
      <c r="Z89" s="150">
        <f>Weather!K209</f>
        <v>9.9999999999999645E-2</v>
      </c>
      <c r="AA89" s="150">
        <f>Weather!L209</f>
        <v>217.89999999999998</v>
      </c>
      <c r="AB89" s="150">
        <f>Weather!M209</f>
        <v>2.2999999999999989</v>
      </c>
      <c r="AC89" s="150">
        <f>Weather!N209</f>
        <v>165</v>
      </c>
      <c r="AD89" s="150">
        <f>Weather!O209</f>
        <v>9.4</v>
      </c>
      <c r="AE89" s="150">
        <f>Weather!P209</f>
        <v>116.89999999999999</v>
      </c>
      <c r="AF89" s="150">
        <f>Weather!Q209</f>
        <v>21.3</v>
      </c>
      <c r="AG89" s="151">
        <f t="shared" si="52"/>
        <v>30</v>
      </c>
      <c r="AH89" s="151">
        <v>21</v>
      </c>
      <c r="AI89">
        <f t="shared" ref="AI89:AV89" si="106">AI77</f>
        <v>0</v>
      </c>
      <c r="AJ89">
        <f t="shared" si="106"/>
        <v>0</v>
      </c>
      <c r="AK89">
        <f t="shared" si="106"/>
        <v>0</v>
      </c>
      <c r="AL89">
        <f t="shared" si="106"/>
        <v>1</v>
      </c>
      <c r="AM89">
        <f t="shared" si="106"/>
        <v>0</v>
      </c>
      <c r="AN89">
        <f t="shared" si="106"/>
        <v>0</v>
      </c>
      <c r="AO89">
        <f t="shared" si="106"/>
        <v>0</v>
      </c>
      <c r="AP89">
        <f t="shared" si="106"/>
        <v>0</v>
      </c>
      <c r="AQ89">
        <f t="shared" si="106"/>
        <v>0</v>
      </c>
      <c r="AR89">
        <f t="shared" si="106"/>
        <v>0</v>
      </c>
      <c r="AS89">
        <f t="shared" si="106"/>
        <v>0</v>
      </c>
      <c r="AT89">
        <f t="shared" si="106"/>
        <v>0</v>
      </c>
      <c r="AU89">
        <f t="shared" si="106"/>
        <v>1</v>
      </c>
      <c r="AV89">
        <f t="shared" si="106"/>
        <v>0</v>
      </c>
      <c r="AW89">
        <f t="shared" si="76"/>
        <v>1</v>
      </c>
      <c r="AX89">
        <f t="shared" si="85"/>
        <v>88</v>
      </c>
      <c r="AY89" s="154">
        <v>0</v>
      </c>
      <c r="AZ89" s="154">
        <f t="shared" si="77"/>
        <v>0</v>
      </c>
      <c r="BA89" s="155">
        <f t="shared" si="78"/>
        <v>0</v>
      </c>
      <c r="BB89" s="155">
        <f t="shared" si="79"/>
        <v>0</v>
      </c>
      <c r="BC89" s="155">
        <f t="shared" si="80"/>
        <v>0</v>
      </c>
      <c r="BD89" s="155">
        <f t="shared" si="81"/>
        <v>0</v>
      </c>
      <c r="BE89" s="236">
        <f t="shared" si="82"/>
        <v>0</v>
      </c>
      <c r="BF89">
        <f>X89*'Rate Class Customer Model'!O89</f>
        <v>0</v>
      </c>
      <c r="BG89" s="123">
        <f t="shared" si="83"/>
        <v>0</v>
      </c>
      <c r="BH89">
        <f t="shared" si="67"/>
        <v>1</v>
      </c>
    </row>
    <row r="90" spans="1:60" x14ac:dyDescent="0.2">
      <c r="A90" s="3">
        <v>43221</v>
      </c>
      <c r="B90">
        <f t="shared" si="70"/>
        <v>2018</v>
      </c>
      <c r="C90">
        <f t="shared" si="71"/>
        <v>5</v>
      </c>
      <c r="D90" s="46">
        <f>Purchases!D150</f>
        <v>18615766.670000002</v>
      </c>
      <c r="E90" s="46">
        <f>Purchases!E150</f>
        <v>4734709.4106999999</v>
      </c>
      <c r="F90" s="46">
        <f ca="1">CDM!D106</f>
        <v>841483.09708632727</v>
      </c>
      <c r="G90" s="46">
        <f t="shared" ca="1" si="72"/>
        <v>19457249.767086331</v>
      </c>
      <c r="H90" s="46">
        <f t="shared" si="73"/>
        <v>13881057.259300001</v>
      </c>
      <c r="I90" s="46">
        <f t="shared" ca="1" si="74"/>
        <v>14722540.35638633</v>
      </c>
      <c r="J90" s="46">
        <f>'Rate Class Customer Model'!V90</f>
        <v>14832.58333333333</v>
      </c>
      <c r="K90" s="109">
        <f>IF(C90=12,VLOOKUP(B90,'Rate Class Customer Model'!$A$32:$J$44,10,FALSE),(VLOOKUP(B90+1,'Rate Class Customer Model'!$A$32:$J$44,10,FALSE)-VLOOKUP(B90,'Rate Class Customer Model'!$A$32:$J$44,10,FALSE))/12+K89)</f>
        <v>11972.16666666667</v>
      </c>
      <c r="L90" s="152">
        <f>Economic!C90</f>
        <v>732426.3</v>
      </c>
      <c r="M90" s="152">
        <f>Economic!E90</f>
        <v>162.3417927633098</v>
      </c>
      <c r="N90" s="152">
        <f>Economic!F90</f>
        <v>7208.1</v>
      </c>
      <c r="O90" s="152">
        <f>Economic!G90</f>
        <v>7174.7</v>
      </c>
      <c r="P90" s="152">
        <f>Economic!H90</f>
        <v>163.6</v>
      </c>
      <c r="Q90" s="152">
        <f>Economic!I90</f>
        <v>163.30000000000001</v>
      </c>
      <c r="R90" s="149">
        <f>Weather!C210</f>
        <v>17.580645161290327</v>
      </c>
      <c r="S90" s="150">
        <f>Weather!D210</f>
        <v>105.4</v>
      </c>
      <c r="T90" s="150">
        <f>Weather!E210</f>
        <v>30.400000000000006</v>
      </c>
      <c r="U90" s="150">
        <f>Weather!F210</f>
        <v>62.900000000000006</v>
      </c>
      <c r="V90" s="150">
        <f>Weather!G210</f>
        <v>49.900000000000006</v>
      </c>
      <c r="W90" s="150">
        <f>Weather!H210</f>
        <v>33.099999999999994</v>
      </c>
      <c r="X90" s="150">
        <f>Weather!I210</f>
        <v>82.1</v>
      </c>
      <c r="Y90" s="150">
        <f>Weather!J210</f>
        <v>16.699999999999996</v>
      </c>
      <c r="Z90" s="150">
        <f>Weather!K210</f>
        <v>127.69999999999999</v>
      </c>
      <c r="AA90" s="150">
        <f>Weather!L210</f>
        <v>9.1</v>
      </c>
      <c r="AB90" s="150">
        <f>Weather!M210</f>
        <v>182.1</v>
      </c>
      <c r="AC90" s="150">
        <f>Weather!N210</f>
        <v>4.7</v>
      </c>
      <c r="AD90" s="150">
        <f>Weather!O210</f>
        <v>239.70000000000002</v>
      </c>
      <c r="AE90" s="150">
        <f>Weather!P210</f>
        <v>1.2000000000000002</v>
      </c>
      <c r="AF90" s="150">
        <f>Weather!Q210</f>
        <v>298.20000000000005</v>
      </c>
      <c r="AG90" s="151">
        <f t="shared" si="52"/>
        <v>31</v>
      </c>
      <c r="AH90" s="151">
        <v>22</v>
      </c>
      <c r="AI90">
        <f t="shared" ref="AI90:AV90" si="107">AI78</f>
        <v>0</v>
      </c>
      <c r="AJ90">
        <f t="shared" si="107"/>
        <v>0</v>
      </c>
      <c r="AK90">
        <f t="shared" si="107"/>
        <v>0</v>
      </c>
      <c r="AL90">
        <f t="shared" si="107"/>
        <v>0</v>
      </c>
      <c r="AM90">
        <f t="shared" si="107"/>
        <v>1</v>
      </c>
      <c r="AN90">
        <f t="shared" si="107"/>
        <v>0</v>
      </c>
      <c r="AO90">
        <f t="shared" si="107"/>
        <v>0</v>
      </c>
      <c r="AP90">
        <f t="shared" si="107"/>
        <v>0</v>
      </c>
      <c r="AQ90">
        <f t="shared" si="107"/>
        <v>0</v>
      </c>
      <c r="AR90">
        <f t="shared" si="107"/>
        <v>0</v>
      </c>
      <c r="AS90">
        <f t="shared" si="107"/>
        <v>0</v>
      </c>
      <c r="AT90">
        <f t="shared" si="107"/>
        <v>0</v>
      </c>
      <c r="AU90">
        <f t="shared" si="107"/>
        <v>1</v>
      </c>
      <c r="AV90">
        <f t="shared" si="107"/>
        <v>0</v>
      </c>
      <c r="AW90">
        <f t="shared" si="76"/>
        <v>1</v>
      </c>
      <c r="AX90">
        <f t="shared" si="85"/>
        <v>89</v>
      </c>
      <c r="AY90" s="154">
        <v>0</v>
      </c>
      <c r="AZ90" s="154">
        <f t="shared" si="77"/>
        <v>0</v>
      </c>
      <c r="BA90" s="155">
        <f t="shared" si="78"/>
        <v>0</v>
      </c>
      <c r="BB90" s="155">
        <f t="shared" si="79"/>
        <v>0</v>
      </c>
      <c r="BC90" s="155">
        <f t="shared" si="80"/>
        <v>0</v>
      </c>
      <c r="BD90" s="155">
        <f t="shared" si="81"/>
        <v>0</v>
      </c>
      <c r="BE90" s="236">
        <f t="shared" si="82"/>
        <v>6740.4099999999989</v>
      </c>
      <c r="BF90">
        <f>X90*'Rate Class Customer Model'!O90</f>
        <v>861495.82499999995</v>
      </c>
      <c r="BG90" s="123">
        <f t="shared" si="83"/>
        <v>982914.88333333354</v>
      </c>
      <c r="BH90">
        <f t="shared" si="67"/>
        <v>1</v>
      </c>
    </row>
    <row r="91" spans="1:60" x14ac:dyDescent="0.2">
      <c r="A91" s="3">
        <v>43252</v>
      </c>
      <c r="B91">
        <f t="shared" si="70"/>
        <v>2018</v>
      </c>
      <c r="C91">
        <f t="shared" si="71"/>
        <v>6</v>
      </c>
      <c r="D91" s="46">
        <f>Purchases!D151</f>
        <v>21326300</v>
      </c>
      <c r="E91" s="46">
        <f>Purchases!E151</f>
        <v>4591129.8232199997</v>
      </c>
      <c r="F91" s="46">
        <f ca="1">CDM!D107</f>
        <v>842339.85960942588</v>
      </c>
      <c r="G91" s="46">
        <f t="shared" ca="1" si="72"/>
        <v>22168639.859609425</v>
      </c>
      <c r="H91" s="46">
        <f t="shared" si="73"/>
        <v>16735170.17678</v>
      </c>
      <c r="I91" s="46">
        <f t="shared" ca="1" si="74"/>
        <v>17577510.036389425</v>
      </c>
      <c r="J91" s="46">
        <f>'Rate Class Customer Model'!V91</f>
        <v>14847.499999999996</v>
      </c>
      <c r="K91" s="109">
        <f>IF(C91=12,VLOOKUP(B91,'Rate Class Customer Model'!$A$32:$J$44,10,FALSE),(VLOOKUP(B91+1,'Rate Class Customer Model'!$A$32:$J$44,10,FALSE)-VLOOKUP(B91,'Rate Class Customer Model'!$A$32:$J$44,10,FALSE))/12+K90)</f>
        <v>11982.000000000004</v>
      </c>
      <c r="L91" s="152">
        <f>Economic!C91</f>
        <v>732426.3</v>
      </c>
      <c r="M91" s="152">
        <f>Economic!E91</f>
        <v>162.73114274761275</v>
      </c>
      <c r="N91" s="152">
        <f>Economic!F91</f>
        <v>7224.1</v>
      </c>
      <c r="O91" s="152">
        <f>Economic!G91</f>
        <v>7269.2</v>
      </c>
      <c r="P91" s="152">
        <f>Economic!H91</f>
        <v>162.69999999999999</v>
      </c>
      <c r="Q91" s="152">
        <f>Economic!I91</f>
        <v>164.2</v>
      </c>
      <c r="R91" s="149">
        <f>Weather!C211</f>
        <v>20.876666666666669</v>
      </c>
      <c r="S91" s="150">
        <f>Weather!D211</f>
        <v>25.500000000000004</v>
      </c>
      <c r="T91" s="150">
        <f>Weather!E211</f>
        <v>51.8</v>
      </c>
      <c r="U91" s="150">
        <f>Weather!F211</f>
        <v>7.6000000000000014</v>
      </c>
      <c r="V91" s="150">
        <f>Weather!G211</f>
        <v>93.9</v>
      </c>
      <c r="W91" s="150">
        <f>Weather!H211</f>
        <v>2.5</v>
      </c>
      <c r="X91" s="150">
        <f>Weather!I211</f>
        <v>148.80000000000001</v>
      </c>
      <c r="Y91" s="150">
        <f>Weather!J211</f>
        <v>0</v>
      </c>
      <c r="Z91" s="150">
        <f>Weather!K211</f>
        <v>206.29999999999998</v>
      </c>
      <c r="AA91" s="150">
        <f>Weather!L211</f>
        <v>0</v>
      </c>
      <c r="AB91" s="150">
        <f>Weather!M211</f>
        <v>266.29999999999995</v>
      </c>
      <c r="AC91" s="150">
        <f>Weather!N211</f>
        <v>0</v>
      </c>
      <c r="AD91" s="150">
        <f>Weather!O211</f>
        <v>326.29999999999995</v>
      </c>
      <c r="AE91" s="150">
        <f>Weather!P211</f>
        <v>0</v>
      </c>
      <c r="AF91" s="150">
        <f>Weather!Q211</f>
        <v>386.29999999999995</v>
      </c>
      <c r="AG91" s="151">
        <f t="shared" si="52"/>
        <v>30</v>
      </c>
      <c r="AH91" s="151">
        <v>21</v>
      </c>
      <c r="AI91">
        <f t="shared" ref="AI91:AV91" si="108">AI79</f>
        <v>0</v>
      </c>
      <c r="AJ91">
        <f t="shared" si="108"/>
        <v>0</v>
      </c>
      <c r="AK91">
        <f t="shared" si="108"/>
        <v>0</v>
      </c>
      <c r="AL91">
        <f t="shared" si="108"/>
        <v>0</v>
      </c>
      <c r="AM91">
        <f t="shared" si="108"/>
        <v>0</v>
      </c>
      <c r="AN91">
        <f t="shared" si="108"/>
        <v>1</v>
      </c>
      <c r="AO91">
        <f t="shared" si="108"/>
        <v>0</v>
      </c>
      <c r="AP91">
        <f t="shared" si="108"/>
        <v>0</v>
      </c>
      <c r="AQ91">
        <f t="shared" si="108"/>
        <v>0</v>
      </c>
      <c r="AR91">
        <f t="shared" si="108"/>
        <v>0</v>
      </c>
      <c r="AS91">
        <f t="shared" si="108"/>
        <v>0</v>
      </c>
      <c r="AT91">
        <f t="shared" si="108"/>
        <v>0</v>
      </c>
      <c r="AU91">
        <f t="shared" si="108"/>
        <v>0</v>
      </c>
      <c r="AV91">
        <f t="shared" si="108"/>
        <v>0</v>
      </c>
      <c r="AW91">
        <f t="shared" si="76"/>
        <v>0</v>
      </c>
      <c r="AX91">
        <f t="shared" si="85"/>
        <v>90</v>
      </c>
      <c r="AY91" s="154">
        <v>0</v>
      </c>
      <c r="AZ91" s="154">
        <f t="shared" si="77"/>
        <v>0</v>
      </c>
      <c r="BA91" s="155">
        <f t="shared" si="78"/>
        <v>0</v>
      </c>
      <c r="BB91" s="155">
        <f t="shared" si="79"/>
        <v>0</v>
      </c>
      <c r="BC91" s="155">
        <f t="shared" si="80"/>
        <v>0</v>
      </c>
      <c r="BD91" s="155">
        <f t="shared" si="81"/>
        <v>0</v>
      </c>
      <c r="BE91" s="236">
        <f t="shared" si="82"/>
        <v>22141.440000000002</v>
      </c>
      <c r="BF91">
        <f>X91*'Rate Class Customer Model'!O91</f>
        <v>1563069.6</v>
      </c>
      <c r="BG91" s="123">
        <f t="shared" si="83"/>
        <v>1782921.6000000008</v>
      </c>
      <c r="BH91">
        <f t="shared" si="67"/>
        <v>1</v>
      </c>
    </row>
    <row r="92" spans="1:60" x14ac:dyDescent="0.2">
      <c r="A92" s="3">
        <v>43282</v>
      </c>
      <c r="B92">
        <f t="shared" si="70"/>
        <v>2018</v>
      </c>
      <c r="C92">
        <f t="shared" si="71"/>
        <v>7</v>
      </c>
      <c r="D92" s="46">
        <f>Purchases!D152</f>
        <v>25954933.329999998</v>
      </c>
      <c r="E92" s="46">
        <f>Purchases!E152</f>
        <v>5430424.4713999992</v>
      </c>
      <c r="F92" s="46">
        <f ca="1">CDM!D108</f>
        <v>843196.6221325245</v>
      </c>
      <c r="G92" s="46">
        <f t="shared" ca="1" si="72"/>
        <v>26798129.952132523</v>
      </c>
      <c r="H92" s="46">
        <f t="shared" si="73"/>
        <v>20524508.858599998</v>
      </c>
      <c r="I92" s="46">
        <f t="shared" ca="1" si="74"/>
        <v>21367705.480732523</v>
      </c>
      <c r="J92" s="46">
        <f>'Rate Class Customer Model'!V92</f>
        <v>14862.416666666662</v>
      </c>
      <c r="K92" s="109">
        <f>IF(C92=12,VLOOKUP(B92,'Rate Class Customer Model'!$A$32:$J$44,10,FALSE),(VLOOKUP(B92+1,'Rate Class Customer Model'!$A$32:$J$44,10,FALSE)-VLOOKUP(B92,'Rate Class Customer Model'!$A$32:$J$44,10,FALSE))/12+K91)</f>
        <v>11991.833333333338</v>
      </c>
      <c r="L92" s="152">
        <f>Economic!C92</f>
        <v>732426.3</v>
      </c>
      <c r="M92" s="152">
        <f>Economic!E92</f>
        <v>163.1204927319157</v>
      </c>
      <c r="N92" s="152">
        <f>Economic!F92</f>
        <v>7258.6</v>
      </c>
      <c r="O92" s="152">
        <f>Economic!G92</f>
        <v>7352.5</v>
      </c>
      <c r="P92" s="152">
        <f>Economic!H92</f>
        <v>163.1</v>
      </c>
      <c r="Q92" s="152">
        <f>Economic!I92</f>
        <v>163.6</v>
      </c>
      <c r="R92" s="149">
        <f>Weather!C212</f>
        <v>23.261290322580646</v>
      </c>
      <c r="S92" s="150">
        <f>Weather!D212</f>
        <v>2.5</v>
      </c>
      <c r="T92" s="150">
        <f>Weather!E212</f>
        <v>103.60000000000002</v>
      </c>
      <c r="U92" s="150">
        <f>Weather!F212</f>
        <v>0.19999999999999929</v>
      </c>
      <c r="V92" s="150">
        <f>Weather!G212</f>
        <v>163.30000000000001</v>
      </c>
      <c r="W92" s="150">
        <f>Weather!H212</f>
        <v>0</v>
      </c>
      <c r="X92" s="150">
        <f>Weather!I212</f>
        <v>225.1</v>
      </c>
      <c r="Y92" s="150">
        <f>Weather!J212</f>
        <v>0</v>
      </c>
      <c r="Z92" s="150">
        <f>Weather!K212</f>
        <v>287.10000000000008</v>
      </c>
      <c r="AA92" s="150">
        <f>Weather!L212</f>
        <v>0</v>
      </c>
      <c r="AB92" s="150">
        <f>Weather!M212</f>
        <v>349.10000000000008</v>
      </c>
      <c r="AC92" s="150">
        <f>Weather!N212</f>
        <v>0</v>
      </c>
      <c r="AD92" s="150">
        <f>Weather!O212</f>
        <v>411.10000000000014</v>
      </c>
      <c r="AE92" s="150">
        <f>Weather!P212</f>
        <v>0</v>
      </c>
      <c r="AF92" s="150">
        <f>Weather!Q212</f>
        <v>473.10000000000014</v>
      </c>
      <c r="AG92" s="151">
        <f t="shared" si="52"/>
        <v>31</v>
      </c>
      <c r="AH92" s="151">
        <v>21</v>
      </c>
      <c r="AI92">
        <f t="shared" ref="AI92:AV92" si="109">AI80</f>
        <v>0</v>
      </c>
      <c r="AJ92">
        <f t="shared" si="109"/>
        <v>0</v>
      </c>
      <c r="AK92">
        <f t="shared" si="109"/>
        <v>0</v>
      </c>
      <c r="AL92">
        <f t="shared" si="109"/>
        <v>0</v>
      </c>
      <c r="AM92">
        <f t="shared" si="109"/>
        <v>0</v>
      </c>
      <c r="AN92">
        <f t="shared" si="109"/>
        <v>0</v>
      </c>
      <c r="AO92">
        <f t="shared" si="109"/>
        <v>1</v>
      </c>
      <c r="AP92">
        <f t="shared" si="109"/>
        <v>0</v>
      </c>
      <c r="AQ92">
        <f t="shared" si="109"/>
        <v>0</v>
      </c>
      <c r="AR92">
        <f t="shared" si="109"/>
        <v>0</v>
      </c>
      <c r="AS92">
        <f t="shared" si="109"/>
        <v>0</v>
      </c>
      <c r="AT92">
        <f t="shared" si="109"/>
        <v>0</v>
      </c>
      <c r="AU92">
        <f t="shared" si="109"/>
        <v>0</v>
      </c>
      <c r="AV92">
        <f t="shared" si="109"/>
        <v>0</v>
      </c>
      <c r="AW92">
        <f t="shared" si="76"/>
        <v>0</v>
      </c>
      <c r="AX92">
        <f t="shared" si="85"/>
        <v>91</v>
      </c>
      <c r="AY92" s="154">
        <v>0</v>
      </c>
      <c r="AZ92" s="154">
        <f t="shared" si="77"/>
        <v>0</v>
      </c>
      <c r="BA92" s="155">
        <f t="shared" si="78"/>
        <v>0</v>
      </c>
      <c r="BB92" s="155">
        <f t="shared" si="79"/>
        <v>0</v>
      </c>
      <c r="BC92" s="155">
        <f t="shared" si="80"/>
        <v>0</v>
      </c>
      <c r="BD92" s="155">
        <f t="shared" si="81"/>
        <v>0</v>
      </c>
      <c r="BE92" s="236">
        <f t="shared" si="82"/>
        <v>50670.009999999995</v>
      </c>
      <c r="BF92">
        <f>X92*'Rate Class Customer Model'!O92</f>
        <v>2367095.3249999997</v>
      </c>
      <c r="BG92" s="123">
        <f t="shared" si="83"/>
        <v>2699361.683333334</v>
      </c>
      <c r="BH92">
        <f t="shared" si="67"/>
        <v>1</v>
      </c>
    </row>
    <row r="93" spans="1:60" x14ac:dyDescent="0.2">
      <c r="A93" s="3">
        <v>43313</v>
      </c>
      <c r="B93">
        <f t="shared" si="70"/>
        <v>2018</v>
      </c>
      <c r="C93">
        <f t="shared" si="71"/>
        <v>8</v>
      </c>
      <c r="D93" s="46">
        <f>Purchases!D153</f>
        <v>26266700</v>
      </c>
      <c r="E93" s="46">
        <f>Purchases!E153</f>
        <v>6859623.5653199991</v>
      </c>
      <c r="F93" s="46">
        <f ca="1">CDM!D109</f>
        <v>844053.38465562311</v>
      </c>
      <c r="G93" s="46">
        <f t="shared" ca="1" si="72"/>
        <v>27110753.384655625</v>
      </c>
      <c r="H93" s="46">
        <f t="shared" si="73"/>
        <v>19407076.43468</v>
      </c>
      <c r="I93" s="46">
        <f t="shared" ca="1" si="74"/>
        <v>20251129.819335625</v>
      </c>
      <c r="J93" s="46">
        <f>'Rate Class Customer Model'!V93</f>
        <v>14877.333333333328</v>
      </c>
      <c r="K93" s="109">
        <f>IF(C93=12,VLOOKUP(B93,'Rate Class Customer Model'!$A$32:$J$44,10,FALSE),(VLOOKUP(B93+1,'Rate Class Customer Model'!$A$32:$J$44,10,FALSE)-VLOOKUP(B93,'Rate Class Customer Model'!$A$32:$J$44,10,FALSE))/12+K92)</f>
        <v>12001.666666666672</v>
      </c>
      <c r="L93" s="152">
        <f>Economic!C93</f>
        <v>732426.3</v>
      </c>
      <c r="M93" s="152">
        <f>Economic!E93</f>
        <v>163.50984271621866</v>
      </c>
      <c r="N93" s="152">
        <f>Economic!F93</f>
        <v>7264.8</v>
      </c>
      <c r="O93" s="152">
        <f>Economic!G93</f>
        <v>7356</v>
      </c>
      <c r="P93" s="152">
        <f>Economic!H93</f>
        <v>162.30000000000001</v>
      </c>
      <c r="Q93" s="152">
        <f>Economic!I93</f>
        <v>163.30000000000001</v>
      </c>
      <c r="R93" s="149">
        <f>Weather!C213</f>
        <v>23.154838709677417</v>
      </c>
      <c r="S93" s="150">
        <f>Weather!D213</f>
        <v>2.8999999999999986</v>
      </c>
      <c r="T93" s="150">
        <f>Weather!E213</f>
        <v>100.7</v>
      </c>
      <c r="U93" s="150">
        <f>Weather!F213</f>
        <v>0</v>
      </c>
      <c r="V93" s="150">
        <f>Weather!G213</f>
        <v>159.80000000000001</v>
      </c>
      <c r="W93" s="150">
        <f>Weather!H213</f>
        <v>0</v>
      </c>
      <c r="X93" s="150">
        <f>Weather!I213</f>
        <v>221.79999999999995</v>
      </c>
      <c r="Y93" s="150">
        <f>Weather!J213</f>
        <v>0</v>
      </c>
      <c r="Z93" s="150">
        <f>Weather!K213</f>
        <v>283.79999999999995</v>
      </c>
      <c r="AA93" s="150">
        <f>Weather!L213</f>
        <v>0</v>
      </c>
      <c r="AB93" s="150">
        <f>Weather!M213</f>
        <v>345.79999999999995</v>
      </c>
      <c r="AC93" s="150">
        <f>Weather!N213</f>
        <v>0</v>
      </c>
      <c r="AD93" s="150">
        <f>Weather!O213</f>
        <v>407.8</v>
      </c>
      <c r="AE93" s="150">
        <f>Weather!P213</f>
        <v>0</v>
      </c>
      <c r="AF93" s="150">
        <f>Weather!Q213</f>
        <v>469.8</v>
      </c>
      <c r="AG93" s="151">
        <f t="shared" si="52"/>
        <v>31</v>
      </c>
      <c r="AH93" s="151">
        <v>22</v>
      </c>
      <c r="AI93">
        <f t="shared" ref="AI93:AV93" si="110">AI81</f>
        <v>0</v>
      </c>
      <c r="AJ93">
        <f t="shared" si="110"/>
        <v>0</v>
      </c>
      <c r="AK93">
        <f t="shared" si="110"/>
        <v>0</v>
      </c>
      <c r="AL93">
        <f t="shared" si="110"/>
        <v>0</v>
      </c>
      <c r="AM93">
        <f t="shared" si="110"/>
        <v>0</v>
      </c>
      <c r="AN93">
        <f t="shared" si="110"/>
        <v>0</v>
      </c>
      <c r="AO93">
        <f t="shared" si="110"/>
        <v>0</v>
      </c>
      <c r="AP93">
        <f t="shared" si="110"/>
        <v>1</v>
      </c>
      <c r="AQ93">
        <f t="shared" si="110"/>
        <v>0</v>
      </c>
      <c r="AR93">
        <f t="shared" si="110"/>
        <v>0</v>
      </c>
      <c r="AS93">
        <f t="shared" si="110"/>
        <v>0</v>
      </c>
      <c r="AT93">
        <f t="shared" si="110"/>
        <v>0</v>
      </c>
      <c r="AU93">
        <f t="shared" si="110"/>
        <v>0</v>
      </c>
      <c r="AV93">
        <f t="shared" si="110"/>
        <v>0</v>
      </c>
      <c r="AW93">
        <f t="shared" si="76"/>
        <v>0</v>
      </c>
      <c r="AX93">
        <f t="shared" si="85"/>
        <v>92</v>
      </c>
      <c r="AY93" s="154">
        <v>0</v>
      </c>
      <c r="AZ93" s="154">
        <f t="shared" si="77"/>
        <v>0</v>
      </c>
      <c r="BA93" s="155">
        <f t="shared" si="78"/>
        <v>0</v>
      </c>
      <c r="BB93" s="155">
        <f t="shared" si="79"/>
        <v>0</v>
      </c>
      <c r="BC93" s="155">
        <f t="shared" si="80"/>
        <v>0</v>
      </c>
      <c r="BD93" s="155">
        <f t="shared" si="81"/>
        <v>0</v>
      </c>
      <c r="BE93" s="236">
        <f t="shared" si="82"/>
        <v>49195.239999999983</v>
      </c>
      <c r="BF93">
        <f>X93*'Rate Class Customer Model'!O93</f>
        <v>2334888.5999999996</v>
      </c>
      <c r="BG93" s="123">
        <f t="shared" si="83"/>
        <v>2661969.666666667</v>
      </c>
      <c r="BH93">
        <f t="shared" si="67"/>
        <v>1</v>
      </c>
    </row>
    <row r="94" spans="1:60" x14ac:dyDescent="0.2">
      <c r="A94" s="3">
        <v>43344</v>
      </c>
      <c r="B94">
        <f t="shared" si="70"/>
        <v>2018</v>
      </c>
      <c r="C94">
        <f t="shared" si="71"/>
        <v>9</v>
      </c>
      <c r="D94" s="46">
        <f>Purchases!D154</f>
        <v>21262033.329999998</v>
      </c>
      <c r="E94" s="46">
        <f>Purchases!E154</f>
        <v>6876333.0363399992</v>
      </c>
      <c r="F94" s="46">
        <f ca="1">CDM!D110</f>
        <v>844910.14717872173</v>
      </c>
      <c r="G94" s="46">
        <f t="shared" ca="1" si="72"/>
        <v>22106943.477178719</v>
      </c>
      <c r="H94" s="46">
        <f t="shared" si="73"/>
        <v>14385700.29366</v>
      </c>
      <c r="I94" s="46">
        <f t="shared" ca="1" si="74"/>
        <v>15230610.440838721</v>
      </c>
      <c r="J94" s="46">
        <f>'Rate Class Customer Model'!V94</f>
        <v>14892.249999999995</v>
      </c>
      <c r="K94" s="109">
        <f>IF(C94=12,VLOOKUP(B94,'Rate Class Customer Model'!$A$32:$J$44,10,FALSE),(VLOOKUP(B94+1,'Rate Class Customer Model'!$A$32:$J$44,10,FALSE)-VLOOKUP(B94,'Rate Class Customer Model'!$A$32:$J$44,10,FALSE))/12+K93)</f>
        <v>12011.500000000005</v>
      </c>
      <c r="L94" s="152">
        <f>Economic!C94</f>
        <v>732426.3</v>
      </c>
      <c r="M94" s="152">
        <f>Economic!E94</f>
        <v>163.89919270052161</v>
      </c>
      <c r="N94" s="152">
        <f>Economic!F94</f>
        <v>7268.1</v>
      </c>
      <c r="O94" s="152">
        <f>Economic!G94</f>
        <v>7315.2</v>
      </c>
      <c r="P94" s="152">
        <f>Economic!H94</f>
        <v>162.6</v>
      </c>
      <c r="Q94" s="152">
        <f>Economic!I94</f>
        <v>163.69999999999999</v>
      </c>
      <c r="R94" s="149">
        <f>Weather!C214</f>
        <v>19.463333333333335</v>
      </c>
      <c r="S94" s="150">
        <f>Weather!D214</f>
        <v>69.3</v>
      </c>
      <c r="T94" s="150">
        <f>Weather!E214</f>
        <v>53.199999999999996</v>
      </c>
      <c r="U94" s="150">
        <f>Weather!F214</f>
        <v>41.400000000000006</v>
      </c>
      <c r="V94" s="150">
        <f>Weather!G214</f>
        <v>85.300000000000011</v>
      </c>
      <c r="W94" s="150">
        <f>Weather!H214</f>
        <v>21.2</v>
      </c>
      <c r="X94" s="150">
        <f>Weather!I214</f>
        <v>125.1</v>
      </c>
      <c r="Y94" s="150">
        <f>Weather!J214</f>
        <v>7.4000000000000021</v>
      </c>
      <c r="Z94" s="150">
        <f>Weather!K214</f>
        <v>171.29999999999995</v>
      </c>
      <c r="AA94" s="150">
        <f>Weather!L214</f>
        <v>0.30000000000000071</v>
      </c>
      <c r="AB94" s="150">
        <f>Weather!M214</f>
        <v>224.19999999999996</v>
      </c>
      <c r="AC94" s="150">
        <f>Weather!N214</f>
        <v>0</v>
      </c>
      <c r="AD94" s="150">
        <f>Weather!O214</f>
        <v>283.89999999999992</v>
      </c>
      <c r="AE94" s="150">
        <f>Weather!P214</f>
        <v>0</v>
      </c>
      <c r="AF94" s="150">
        <f>Weather!Q214</f>
        <v>343.9</v>
      </c>
      <c r="AG94" s="151">
        <f t="shared" si="52"/>
        <v>30</v>
      </c>
      <c r="AH94" s="151">
        <v>19</v>
      </c>
      <c r="AI94">
        <f t="shared" ref="AI94:AV94" si="111">AI82</f>
        <v>0</v>
      </c>
      <c r="AJ94">
        <f t="shared" si="111"/>
        <v>0</v>
      </c>
      <c r="AK94">
        <f t="shared" si="111"/>
        <v>0</v>
      </c>
      <c r="AL94">
        <f t="shared" si="111"/>
        <v>0</v>
      </c>
      <c r="AM94">
        <f t="shared" si="111"/>
        <v>0</v>
      </c>
      <c r="AN94">
        <f t="shared" si="111"/>
        <v>0</v>
      </c>
      <c r="AO94">
        <f t="shared" si="111"/>
        <v>0</v>
      </c>
      <c r="AP94">
        <f t="shared" si="111"/>
        <v>0</v>
      </c>
      <c r="AQ94">
        <f t="shared" si="111"/>
        <v>1</v>
      </c>
      <c r="AR94">
        <f t="shared" si="111"/>
        <v>0</v>
      </c>
      <c r="AS94">
        <f t="shared" si="111"/>
        <v>0</v>
      </c>
      <c r="AT94">
        <f t="shared" si="111"/>
        <v>0</v>
      </c>
      <c r="AU94">
        <f t="shared" si="111"/>
        <v>0</v>
      </c>
      <c r="AV94">
        <f t="shared" si="111"/>
        <v>1</v>
      </c>
      <c r="AW94">
        <f t="shared" si="76"/>
        <v>1</v>
      </c>
      <c r="AX94">
        <f t="shared" si="85"/>
        <v>93</v>
      </c>
      <c r="AY94" s="154">
        <v>0</v>
      </c>
      <c r="AZ94" s="154">
        <f t="shared" si="77"/>
        <v>0</v>
      </c>
      <c r="BA94" s="155">
        <f t="shared" si="78"/>
        <v>0</v>
      </c>
      <c r="BB94" s="155">
        <f t="shared" si="79"/>
        <v>0</v>
      </c>
      <c r="BC94" s="155">
        <f t="shared" si="80"/>
        <v>0</v>
      </c>
      <c r="BD94" s="155">
        <f t="shared" si="81"/>
        <v>0</v>
      </c>
      <c r="BE94" s="236">
        <f t="shared" si="82"/>
        <v>15650.009999999998</v>
      </c>
      <c r="BF94">
        <f>X94*'Rate Class Customer Model'!O94</f>
        <v>1318335.075</v>
      </c>
      <c r="BG94" s="123">
        <f t="shared" si="83"/>
        <v>1502638.6500000006</v>
      </c>
      <c r="BH94">
        <f t="shared" si="67"/>
        <v>1</v>
      </c>
    </row>
    <row r="95" spans="1:60" x14ac:dyDescent="0.2">
      <c r="A95" s="3">
        <v>43374</v>
      </c>
      <c r="B95">
        <f t="shared" si="70"/>
        <v>2018</v>
      </c>
      <c r="C95">
        <f t="shared" si="71"/>
        <v>10</v>
      </c>
      <c r="D95" s="46">
        <f>Purchases!D155</f>
        <v>18523233.329999998</v>
      </c>
      <c r="E95" s="46">
        <f>Purchases!E155</f>
        <v>5435062.2424600003</v>
      </c>
      <c r="F95" s="46">
        <f ca="1">CDM!D111</f>
        <v>845766.90970182035</v>
      </c>
      <c r="G95" s="46">
        <f t="shared" ca="1" si="72"/>
        <v>19369000.239701819</v>
      </c>
      <c r="H95" s="46">
        <f t="shared" si="73"/>
        <v>13088171.087539997</v>
      </c>
      <c r="I95" s="46">
        <f t="shared" ca="1" si="74"/>
        <v>13933937.997241817</v>
      </c>
      <c r="J95" s="46">
        <f>'Rate Class Customer Model'!V95</f>
        <v>14907.166666666661</v>
      </c>
      <c r="K95" s="109">
        <f>IF(C95=12,VLOOKUP(B95,'Rate Class Customer Model'!$A$32:$J$44,10,FALSE),(VLOOKUP(B95+1,'Rate Class Customer Model'!$A$32:$J$44,10,FALSE)-VLOOKUP(B95,'Rate Class Customer Model'!$A$32:$J$44,10,FALSE))/12+K94)</f>
        <v>12021.333333333339</v>
      </c>
      <c r="L95" s="152">
        <f>Economic!C95</f>
        <v>732426.3</v>
      </c>
      <c r="M95" s="152">
        <f>Economic!E95</f>
        <v>164.28854268482456</v>
      </c>
      <c r="N95" s="152">
        <f>Economic!F95</f>
        <v>7253</v>
      </c>
      <c r="O95" s="152">
        <f>Economic!G95</f>
        <v>7274.4</v>
      </c>
      <c r="P95" s="152">
        <f>Economic!H95</f>
        <v>162.9</v>
      </c>
      <c r="Q95" s="152">
        <f>Economic!I95</f>
        <v>165</v>
      </c>
      <c r="R95" s="149">
        <f>Weather!C215</f>
        <v>10.816129032258065</v>
      </c>
      <c r="S95" s="150">
        <f>Weather!D215</f>
        <v>294.60000000000002</v>
      </c>
      <c r="T95" s="150">
        <f>Weather!E215</f>
        <v>9.8999999999999986</v>
      </c>
      <c r="U95" s="150">
        <f>Weather!F215</f>
        <v>242.29999999999998</v>
      </c>
      <c r="V95" s="150">
        <f>Weather!G215</f>
        <v>19.600000000000001</v>
      </c>
      <c r="W95" s="150">
        <f>Weather!H215</f>
        <v>192.49999999999997</v>
      </c>
      <c r="X95" s="150">
        <f>Weather!I215</f>
        <v>31.8</v>
      </c>
      <c r="Y95" s="150">
        <f>Weather!J215</f>
        <v>145.99999999999997</v>
      </c>
      <c r="Z95" s="150">
        <f>Weather!K215</f>
        <v>47.3</v>
      </c>
      <c r="AA95" s="150">
        <f>Weather!L215</f>
        <v>104.00000000000001</v>
      </c>
      <c r="AB95" s="150">
        <f>Weather!M215</f>
        <v>67.3</v>
      </c>
      <c r="AC95" s="150">
        <f>Weather!N215</f>
        <v>64</v>
      </c>
      <c r="AD95" s="150">
        <f>Weather!O215</f>
        <v>89.3</v>
      </c>
      <c r="AE95" s="150">
        <f>Weather!P215</f>
        <v>29.499999999999996</v>
      </c>
      <c r="AF95" s="150">
        <f>Weather!Q215</f>
        <v>116.79999999999998</v>
      </c>
      <c r="AG95" s="151">
        <f t="shared" si="52"/>
        <v>31</v>
      </c>
      <c r="AH95" s="151">
        <v>22</v>
      </c>
      <c r="AI95">
        <f t="shared" ref="AI95:AV95" si="112">AI83</f>
        <v>0</v>
      </c>
      <c r="AJ95">
        <f t="shared" si="112"/>
        <v>0</v>
      </c>
      <c r="AK95">
        <f t="shared" si="112"/>
        <v>0</v>
      </c>
      <c r="AL95">
        <f t="shared" si="112"/>
        <v>0</v>
      </c>
      <c r="AM95">
        <f t="shared" si="112"/>
        <v>0</v>
      </c>
      <c r="AN95">
        <f t="shared" si="112"/>
        <v>0</v>
      </c>
      <c r="AO95">
        <f t="shared" si="112"/>
        <v>0</v>
      </c>
      <c r="AP95">
        <f t="shared" si="112"/>
        <v>0</v>
      </c>
      <c r="AQ95">
        <f t="shared" si="112"/>
        <v>0</v>
      </c>
      <c r="AR95">
        <f t="shared" si="112"/>
        <v>1</v>
      </c>
      <c r="AS95">
        <f t="shared" si="112"/>
        <v>0</v>
      </c>
      <c r="AT95">
        <f t="shared" si="112"/>
        <v>0</v>
      </c>
      <c r="AU95">
        <f t="shared" si="112"/>
        <v>0</v>
      </c>
      <c r="AV95">
        <f t="shared" si="112"/>
        <v>1</v>
      </c>
      <c r="AW95">
        <f t="shared" si="76"/>
        <v>1</v>
      </c>
      <c r="AX95">
        <f t="shared" si="85"/>
        <v>94</v>
      </c>
      <c r="AY95" s="154">
        <v>0</v>
      </c>
      <c r="AZ95" s="154">
        <f t="shared" si="77"/>
        <v>0</v>
      </c>
      <c r="BA95" s="155">
        <f t="shared" si="78"/>
        <v>0</v>
      </c>
      <c r="BB95" s="155">
        <f t="shared" si="79"/>
        <v>0</v>
      </c>
      <c r="BC95" s="155">
        <f t="shared" si="80"/>
        <v>0</v>
      </c>
      <c r="BD95" s="155">
        <f t="shared" si="81"/>
        <v>0</v>
      </c>
      <c r="BE95" s="236">
        <f t="shared" si="82"/>
        <v>1011.24</v>
      </c>
      <c r="BF95">
        <f>X95*'Rate Class Customer Model'!O95</f>
        <v>335474.10000000003</v>
      </c>
      <c r="BG95" s="123">
        <f t="shared" si="83"/>
        <v>382278.4000000002</v>
      </c>
      <c r="BH95">
        <f t="shared" si="67"/>
        <v>1</v>
      </c>
    </row>
    <row r="96" spans="1:60" x14ac:dyDescent="0.2">
      <c r="A96" s="3">
        <v>43405</v>
      </c>
      <c r="B96">
        <f t="shared" si="70"/>
        <v>2018</v>
      </c>
      <c r="C96">
        <f t="shared" si="71"/>
        <v>11</v>
      </c>
      <c r="D96" s="46">
        <f>Purchases!D156</f>
        <v>19925200</v>
      </c>
      <c r="E96" s="46">
        <f>Purchases!E156</f>
        <v>4664771.2834799998</v>
      </c>
      <c r="F96" s="46">
        <f ca="1">CDM!D112</f>
        <v>846623.67222491896</v>
      </c>
      <c r="G96" s="46">
        <f t="shared" ca="1" si="72"/>
        <v>20771823.67222492</v>
      </c>
      <c r="H96" s="46">
        <f t="shared" si="73"/>
        <v>15260428.71652</v>
      </c>
      <c r="I96" s="46">
        <f t="shared" ca="1" si="74"/>
        <v>16107052.38874492</v>
      </c>
      <c r="J96" s="46">
        <f>'Rate Class Customer Model'!V96</f>
        <v>14922.083333333327</v>
      </c>
      <c r="K96" s="109">
        <f>IF(C96=12,VLOOKUP(B96,'Rate Class Customer Model'!$A$32:$J$44,10,FALSE),(VLOOKUP(B96+1,'Rate Class Customer Model'!$A$32:$J$44,10,FALSE)-VLOOKUP(B96,'Rate Class Customer Model'!$A$32:$J$44,10,FALSE))/12+K95)</f>
        <v>12031.166666666673</v>
      </c>
      <c r="L96" s="152">
        <f>Economic!C96</f>
        <v>732426.3</v>
      </c>
      <c r="M96" s="152">
        <f>Economic!E96</f>
        <v>164.67789266912752</v>
      </c>
      <c r="N96" s="152">
        <f>Economic!F96</f>
        <v>7273.5</v>
      </c>
      <c r="O96" s="152">
        <f>Economic!G96</f>
        <v>7279</v>
      </c>
      <c r="P96" s="152">
        <f>Economic!H96</f>
        <v>166.3</v>
      </c>
      <c r="Q96" s="152">
        <f>Economic!I96</f>
        <v>167.9</v>
      </c>
      <c r="R96" s="149">
        <f>Weather!C216</f>
        <v>1.8466666666666669</v>
      </c>
      <c r="S96" s="150">
        <f>Weather!D216</f>
        <v>544.6</v>
      </c>
      <c r="T96" s="150">
        <f>Weather!E216</f>
        <v>0</v>
      </c>
      <c r="U96" s="150">
        <f>Weather!F216</f>
        <v>484.60000000000008</v>
      </c>
      <c r="V96" s="150">
        <f>Weather!G216</f>
        <v>0</v>
      </c>
      <c r="W96" s="150">
        <f>Weather!H216</f>
        <v>424.60000000000014</v>
      </c>
      <c r="X96" s="150">
        <f>Weather!I216</f>
        <v>0</v>
      </c>
      <c r="Y96" s="150">
        <f>Weather!J216</f>
        <v>364.60000000000008</v>
      </c>
      <c r="Z96" s="150">
        <f>Weather!K216</f>
        <v>0</v>
      </c>
      <c r="AA96" s="150">
        <f>Weather!L216</f>
        <v>304.60000000000002</v>
      </c>
      <c r="AB96" s="150">
        <f>Weather!M216</f>
        <v>0</v>
      </c>
      <c r="AC96" s="150">
        <f>Weather!N216</f>
        <v>245.09999999999997</v>
      </c>
      <c r="AD96" s="150">
        <f>Weather!O216</f>
        <v>0.5</v>
      </c>
      <c r="AE96" s="150">
        <f>Weather!P216</f>
        <v>189.1</v>
      </c>
      <c r="AF96" s="150">
        <f>Weather!Q216</f>
        <v>4.5</v>
      </c>
      <c r="AG96" s="151">
        <f t="shared" si="52"/>
        <v>30</v>
      </c>
      <c r="AH96" s="151">
        <v>22</v>
      </c>
      <c r="AI96">
        <f t="shared" ref="AI96:AV96" si="113">AI84</f>
        <v>0</v>
      </c>
      <c r="AJ96">
        <f t="shared" si="113"/>
        <v>0</v>
      </c>
      <c r="AK96">
        <f t="shared" si="113"/>
        <v>0</v>
      </c>
      <c r="AL96">
        <f t="shared" si="113"/>
        <v>0</v>
      </c>
      <c r="AM96">
        <f t="shared" si="113"/>
        <v>0</v>
      </c>
      <c r="AN96">
        <f t="shared" si="113"/>
        <v>0</v>
      </c>
      <c r="AO96">
        <f t="shared" si="113"/>
        <v>0</v>
      </c>
      <c r="AP96">
        <f t="shared" si="113"/>
        <v>0</v>
      </c>
      <c r="AQ96">
        <f t="shared" si="113"/>
        <v>0</v>
      </c>
      <c r="AR96">
        <f t="shared" si="113"/>
        <v>0</v>
      </c>
      <c r="AS96">
        <f t="shared" si="113"/>
        <v>1</v>
      </c>
      <c r="AT96">
        <f t="shared" si="113"/>
        <v>0</v>
      </c>
      <c r="AU96">
        <f t="shared" si="113"/>
        <v>0</v>
      </c>
      <c r="AV96">
        <f t="shared" si="113"/>
        <v>1</v>
      </c>
      <c r="AW96">
        <f t="shared" si="76"/>
        <v>1</v>
      </c>
      <c r="AX96">
        <f t="shared" si="85"/>
        <v>95</v>
      </c>
      <c r="AY96" s="154">
        <v>0</v>
      </c>
      <c r="AZ96" s="154">
        <f t="shared" si="77"/>
        <v>0</v>
      </c>
      <c r="BA96" s="155">
        <f t="shared" si="78"/>
        <v>0</v>
      </c>
      <c r="BB96" s="155">
        <f t="shared" si="79"/>
        <v>0</v>
      </c>
      <c r="BC96" s="155">
        <f t="shared" si="80"/>
        <v>0</v>
      </c>
      <c r="BD96" s="155">
        <f t="shared" si="81"/>
        <v>0</v>
      </c>
      <c r="BE96" s="236">
        <f t="shared" si="82"/>
        <v>0</v>
      </c>
      <c r="BF96">
        <f>X96*'Rate Class Customer Model'!O96</f>
        <v>0</v>
      </c>
      <c r="BG96" s="123">
        <f t="shared" si="83"/>
        <v>0</v>
      </c>
      <c r="BH96">
        <f t="shared" si="67"/>
        <v>1</v>
      </c>
    </row>
    <row r="97" spans="1:60" x14ac:dyDescent="0.2">
      <c r="A97" s="3">
        <v>43435</v>
      </c>
      <c r="B97">
        <f t="shared" si="70"/>
        <v>2018</v>
      </c>
      <c r="C97">
        <f t="shared" si="71"/>
        <v>12</v>
      </c>
      <c r="D97" s="46">
        <f>Purchases!D157</f>
        <v>21085833.329999998</v>
      </c>
      <c r="E97" s="46">
        <f>Purchases!E157</f>
        <v>5355771.8004999999</v>
      </c>
      <c r="F97" s="46">
        <f ca="1">CDM!D113</f>
        <v>847480.43474801758</v>
      </c>
      <c r="G97" s="46">
        <f t="shared" ca="1" si="72"/>
        <v>21933313.764748015</v>
      </c>
      <c r="H97" s="46">
        <f t="shared" si="73"/>
        <v>15730061.529499998</v>
      </c>
      <c r="I97" s="46">
        <f t="shared" ca="1" si="74"/>
        <v>16577541.964248015</v>
      </c>
      <c r="J97" s="46">
        <f>'Rate Class Customer Model'!V97</f>
        <v>14937</v>
      </c>
      <c r="K97" s="109">
        <f>IF(C97=12,VLOOKUP(B97,'Rate Class Customer Model'!$A$32:$J$44,10,FALSE),(VLOOKUP(B97+1,'Rate Class Customer Model'!$A$32:$J$44,10,FALSE)-VLOOKUP(B97,'Rate Class Customer Model'!$A$32:$J$44,10,FALSE))/12+K96)</f>
        <v>12055</v>
      </c>
      <c r="L97" s="152">
        <f>Economic!C97</f>
        <v>732426.3</v>
      </c>
      <c r="M97" s="152">
        <f>Economic!E97</f>
        <v>165.06724265343047</v>
      </c>
      <c r="N97" s="152">
        <f>Economic!F97</f>
        <v>7289.2</v>
      </c>
      <c r="O97" s="152">
        <f>Economic!G97</f>
        <v>7302.7</v>
      </c>
      <c r="P97" s="152">
        <f>Economic!H97</f>
        <v>168.5</v>
      </c>
      <c r="Q97" s="152">
        <f>Economic!I97</f>
        <v>169.1</v>
      </c>
      <c r="R97" s="149">
        <f>Weather!C217</f>
        <v>0.78064516129032258</v>
      </c>
      <c r="S97" s="150">
        <f>Weather!D217</f>
        <v>595.80000000000007</v>
      </c>
      <c r="T97" s="150">
        <f>Weather!E217</f>
        <v>0</v>
      </c>
      <c r="U97" s="150">
        <f>Weather!F217</f>
        <v>533.80000000000007</v>
      </c>
      <c r="V97" s="150">
        <f>Weather!G217</f>
        <v>0</v>
      </c>
      <c r="W97" s="150">
        <f>Weather!H217</f>
        <v>471.79999999999995</v>
      </c>
      <c r="X97" s="150">
        <f>Weather!I217</f>
        <v>0</v>
      </c>
      <c r="Y97" s="150">
        <f>Weather!J217</f>
        <v>409.79999999999995</v>
      </c>
      <c r="Z97" s="150">
        <f>Weather!K217</f>
        <v>0</v>
      </c>
      <c r="AA97" s="150">
        <f>Weather!L217</f>
        <v>347.7999999999999</v>
      </c>
      <c r="AB97" s="150">
        <f>Weather!M217</f>
        <v>0</v>
      </c>
      <c r="AC97" s="150">
        <f>Weather!N217</f>
        <v>285.8</v>
      </c>
      <c r="AD97" s="150">
        <f>Weather!O217</f>
        <v>0</v>
      </c>
      <c r="AE97" s="150">
        <f>Weather!P217</f>
        <v>225.20000000000002</v>
      </c>
      <c r="AF97" s="150">
        <f>Weather!Q217</f>
        <v>1.4000000000000004</v>
      </c>
      <c r="AG97" s="151">
        <f t="shared" si="52"/>
        <v>31</v>
      </c>
      <c r="AH97" s="151">
        <v>19</v>
      </c>
      <c r="AI97">
        <f t="shared" ref="AI97:AV97" si="114">AI85</f>
        <v>0</v>
      </c>
      <c r="AJ97">
        <f t="shared" si="114"/>
        <v>0</v>
      </c>
      <c r="AK97">
        <f t="shared" si="114"/>
        <v>0</v>
      </c>
      <c r="AL97">
        <f t="shared" si="114"/>
        <v>0</v>
      </c>
      <c r="AM97">
        <f t="shared" si="114"/>
        <v>0</v>
      </c>
      <c r="AN97">
        <f t="shared" si="114"/>
        <v>0</v>
      </c>
      <c r="AO97">
        <f t="shared" si="114"/>
        <v>0</v>
      </c>
      <c r="AP97">
        <f t="shared" si="114"/>
        <v>0</v>
      </c>
      <c r="AQ97">
        <f t="shared" si="114"/>
        <v>0</v>
      </c>
      <c r="AR97">
        <f t="shared" si="114"/>
        <v>0</v>
      </c>
      <c r="AS97">
        <f t="shared" si="114"/>
        <v>0</v>
      </c>
      <c r="AT97">
        <f t="shared" si="114"/>
        <v>1</v>
      </c>
      <c r="AU97">
        <f t="shared" si="114"/>
        <v>0</v>
      </c>
      <c r="AV97">
        <f t="shared" si="114"/>
        <v>0</v>
      </c>
      <c r="AW97">
        <f t="shared" si="76"/>
        <v>0</v>
      </c>
      <c r="AX97">
        <f t="shared" si="85"/>
        <v>96</v>
      </c>
      <c r="AY97" s="154">
        <v>0</v>
      </c>
      <c r="AZ97" s="154">
        <f t="shared" si="77"/>
        <v>0</v>
      </c>
      <c r="BA97" s="155">
        <f t="shared" si="78"/>
        <v>0</v>
      </c>
      <c r="BB97" s="155">
        <f t="shared" si="79"/>
        <v>0</v>
      </c>
      <c r="BC97" s="155">
        <f t="shared" si="80"/>
        <v>0</v>
      </c>
      <c r="BD97" s="155">
        <f t="shared" si="81"/>
        <v>0</v>
      </c>
      <c r="BE97" s="236">
        <f t="shared" si="82"/>
        <v>0</v>
      </c>
      <c r="BF97">
        <f>X97*'Rate Class Customer Model'!O97</f>
        <v>0</v>
      </c>
      <c r="BG97" s="123">
        <f t="shared" si="83"/>
        <v>0</v>
      </c>
      <c r="BH97">
        <f t="shared" si="67"/>
        <v>1</v>
      </c>
    </row>
    <row r="98" spans="1:60" x14ac:dyDescent="0.2">
      <c r="A98" s="3">
        <v>43466</v>
      </c>
      <c r="B98">
        <f t="shared" si="70"/>
        <v>2019</v>
      </c>
      <c r="C98">
        <f t="shared" si="71"/>
        <v>1</v>
      </c>
      <c r="D98" s="46">
        <f>Purchases!D158</f>
        <v>22756420</v>
      </c>
      <c r="E98" s="46">
        <f>Purchases!E158</f>
        <v>5895781.54538</v>
      </c>
      <c r="F98" s="46">
        <f ca="1">CDM!D114</f>
        <v>896792.23441008932</v>
      </c>
      <c r="G98" s="46">
        <f t="shared" ca="1" si="72"/>
        <v>23653212.234410089</v>
      </c>
      <c r="H98" s="46">
        <f t="shared" si="73"/>
        <v>16860638.45462</v>
      </c>
      <c r="I98" s="46">
        <f t="shared" ca="1" si="74"/>
        <v>17757430.689030088</v>
      </c>
      <c r="J98" s="46">
        <f>'Rate Class Customer Model'!V98</f>
        <v>14949.166666666666</v>
      </c>
      <c r="K98" s="109">
        <f>IF(C98=12,VLOOKUP(B98,'Rate Class Customer Model'!$A$32:$J$44,10,FALSE),(VLOOKUP(B98+1,'Rate Class Customer Model'!$A$32:$J$44,10,FALSE)-VLOOKUP(B98,'Rate Class Customer Model'!$A$32:$J$44,10,FALSE))/12+K97)</f>
        <v>12070.916666666666</v>
      </c>
      <c r="L98" s="152">
        <f>Economic!C98</f>
        <v>747589.4</v>
      </c>
      <c r="M98" s="152">
        <f>Economic!E98</f>
        <v>165.3520188722207</v>
      </c>
      <c r="N98" s="152">
        <f>Economic!F98</f>
        <v>7315.7</v>
      </c>
      <c r="O98" s="152">
        <f>Economic!G98</f>
        <v>7293.3</v>
      </c>
      <c r="P98" s="152">
        <f>Economic!H98</f>
        <v>170.7</v>
      </c>
      <c r="Q98" s="152">
        <f>Economic!I98</f>
        <v>170.1</v>
      </c>
      <c r="R98" s="149">
        <f>Weather!C218</f>
        <v>-4.9612903225806457</v>
      </c>
      <c r="S98" s="150">
        <f>Weather!D218</f>
        <v>773.8</v>
      </c>
      <c r="T98" s="150">
        <f>Weather!E218</f>
        <v>0</v>
      </c>
      <c r="U98" s="150">
        <f>Weather!F218</f>
        <v>711.8</v>
      </c>
      <c r="V98" s="150">
        <f>Weather!G218</f>
        <v>0</v>
      </c>
      <c r="W98" s="150">
        <f>Weather!H218</f>
        <v>649.79999999999995</v>
      </c>
      <c r="X98" s="150">
        <f>Weather!I218</f>
        <v>0</v>
      </c>
      <c r="Y98" s="150">
        <f>Weather!J218</f>
        <v>587.79999999999995</v>
      </c>
      <c r="Z98" s="150">
        <f>Weather!K218</f>
        <v>0</v>
      </c>
      <c r="AA98" s="150">
        <f>Weather!L218</f>
        <v>525.79999999999995</v>
      </c>
      <c r="AB98" s="150">
        <f>Weather!M218</f>
        <v>0</v>
      </c>
      <c r="AC98" s="150">
        <f>Weather!N218</f>
        <v>463.8</v>
      </c>
      <c r="AD98" s="150">
        <f>Weather!O218</f>
        <v>0</v>
      </c>
      <c r="AE98" s="150">
        <f>Weather!P218</f>
        <v>401.8</v>
      </c>
      <c r="AF98" s="150">
        <f>Weather!Q218</f>
        <v>0</v>
      </c>
      <c r="AG98" s="151">
        <f t="shared" si="52"/>
        <v>31</v>
      </c>
      <c r="AH98" s="151">
        <v>22</v>
      </c>
      <c r="AI98">
        <f t="shared" ref="AI98:AV98" si="115">AI86</f>
        <v>1</v>
      </c>
      <c r="AJ98">
        <f t="shared" si="115"/>
        <v>0</v>
      </c>
      <c r="AK98">
        <f t="shared" si="115"/>
        <v>0</v>
      </c>
      <c r="AL98">
        <f t="shared" si="115"/>
        <v>0</v>
      </c>
      <c r="AM98">
        <f t="shared" si="115"/>
        <v>0</v>
      </c>
      <c r="AN98">
        <f t="shared" si="115"/>
        <v>0</v>
      </c>
      <c r="AO98">
        <f t="shared" si="115"/>
        <v>0</v>
      </c>
      <c r="AP98">
        <f t="shared" si="115"/>
        <v>0</v>
      </c>
      <c r="AQ98">
        <f t="shared" si="115"/>
        <v>0</v>
      </c>
      <c r="AR98">
        <f t="shared" si="115"/>
        <v>0</v>
      </c>
      <c r="AS98">
        <f t="shared" si="115"/>
        <v>0</v>
      </c>
      <c r="AT98">
        <f t="shared" si="115"/>
        <v>0</v>
      </c>
      <c r="AU98">
        <f t="shared" si="115"/>
        <v>0</v>
      </c>
      <c r="AV98">
        <f t="shared" si="115"/>
        <v>0</v>
      </c>
      <c r="AW98">
        <f t="shared" si="76"/>
        <v>0</v>
      </c>
      <c r="AX98">
        <f t="shared" si="85"/>
        <v>97</v>
      </c>
      <c r="AY98" s="154">
        <v>0</v>
      </c>
      <c r="AZ98" s="154">
        <f t="shared" si="77"/>
        <v>0</v>
      </c>
      <c r="BA98" s="155">
        <f t="shared" si="78"/>
        <v>0</v>
      </c>
      <c r="BB98" s="155">
        <f t="shared" si="79"/>
        <v>0</v>
      </c>
      <c r="BC98" s="155">
        <f t="shared" si="80"/>
        <v>0</v>
      </c>
      <c r="BD98" s="155">
        <f t="shared" si="81"/>
        <v>0</v>
      </c>
      <c r="BE98" s="236">
        <f t="shared" si="82"/>
        <v>0</v>
      </c>
      <c r="BF98">
        <f>X98*'Rate Class Customer Model'!O98</f>
        <v>0</v>
      </c>
      <c r="BG98" s="123">
        <f t="shared" si="83"/>
        <v>0</v>
      </c>
      <c r="BH98">
        <f t="shared" si="67"/>
        <v>1</v>
      </c>
    </row>
    <row r="99" spans="1:60" x14ac:dyDescent="0.2">
      <c r="A99" s="3">
        <v>43497</v>
      </c>
      <c r="B99">
        <f t="shared" si="70"/>
        <v>2019</v>
      </c>
      <c r="C99">
        <f t="shared" si="71"/>
        <v>2</v>
      </c>
      <c r="D99" s="46">
        <f>Purchases!D159</f>
        <v>20319680</v>
      </c>
      <c r="E99" s="46">
        <f>Purchases!E159</f>
        <v>6344426.8998599993</v>
      </c>
      <c r="F99" s="46">
        <f ca="1">CDM!D115</f>
        <v>898596.21286400827</v>
      </c>
      <c r="G99" s="46">
        <f t="shared" ca="1" si="72"/>
        <v>21218276.212864008</v>
      </c>
      <c r="H99" s="46">
        <f t="shared" si="73"/>
        <v>13975253.100140002</v>
      </c>
      <c r="I99" s="46">
        <f t="shared" ca="1" si="74"/>
        <v>14873849.313004009</v>
      </c>
      <c r="J99" s="46">
        <f>'Rate Class Customer Model'!V99</f>
        <v>14961.333333333332</v>
      </c>
      <c r="K99" s="109">
        <f>IF(C99=12,VLOOKUP(B99,'Rate Class Customer Model'!$A$32:$J$44,10,FALSE),(VLOOKUP(B99+1,'Rate Class Customer Model'!$A$32:$J$44,10,FALSE)-VLOOKUP(B99,'Rate Class Customer Model'!$A$32:$J$44,10,FALSE))/12+K98)</f>
        <v>12086.833333333332</v>
      </c>
      <c r="L99" s="152">
        <f>Economic!C99</f>
        <v>747589.4</v>
      </c>
      <c r="M99" s="152">
        <f>Economic!E99</f>
        <v>165.63679509101092</v>
      </c>
      <c r="N99" s="152">
        <f>Economic!F99</f>
        <v>7346.7</v>
      </c>
      <c r="O99" s="152">
        <f>Economic!G99</f>
        <v>7286.5</v>
      </c>
      <c r="P99" s="152">
        <f>Economic!H99</f>
        <v>172.2</v>
      </c>
      <c r="Q99" s="152">
        <f>Economic!I99</f>
        <v>170.3</v>
      </c>
      <c r="R99" s="149">
        <f>Weather!C219</f>
        <v>-2.7464285714285714</v>
      </c>
      <c r="S99" s="150">
        <f>Weather!D219</f>
        <v>636.9000000000002</v>
      </c>
      <c r="T99" s="150">
        <f>Weather!E219</f>
        <v>0</v>
      </c>
      <c r="U99" s="150">
        <f>Weather!F219</f>
        <v>580.90000000000009</v>
      </c>
      <c r="V99" s="150">
        <f>Weather!G219</f>
        <v>0</v>
      </c>
      <c r="W99" s="150">
        <f>Weather!H219</f>
        <v>524.90000000000009</v>
      </c>
      <c r="X99" s="150">
        <f>Weather!I219</f>
        <v>0</v>
      </c>
      <c r="Y99" s="150">
        <f>Weather!J219</f>
        <v>468.9</v>
      </c>
      <c r="Z99" s="150">
        <f>Weather!K219</f>
        <v>0</v>
      </c>
      <c r="AA99" s="150">
        <f>Weather!L219</f>
        <v>412.90000000000003</v>
      </c>
      <c r="AB99" s="150">
        <f>Weather!M219</f>
        <v>0</v>
      </c>
      <c r="AC99" s="150">
        <f>Weather!N219</f>
        <v>356.90000000000003</v>
      </c>
      <c r="AD99" s="150">
        <f>Weather!O219</f>
        <v>0</v>
      </c>
      <c r="AE99" s="150">
        <f>Weather!P219</f>
        <v>300.90000000000003</v>
      </c>
      <c r="AF99" s="150">
        <f>Weather!Q219</f>
        <v>0</v>
      </c>
      <c r="AG99" s="151">
        <f t="shared" si="52"/>
        <v>28</v>
      </c>
      <c r="AH99" s="151">
        <v>19</v>
      </c>
      <c r="AI99">
        <f t="shared" ref="AI99:AV99" si="116">AI87</f>
        <v>0</v>
      </c>
      <c r="AJ99">
        <f t="shared" si="116"/>
        <v>1</v>
      </c>
      <c r="AK99">
        <f t="shared" si="116"/>
        <v>0</v>
      </c>
      <c r="AL99">
        <f t="shared" si="116"/>
        <v>0</v>
      </c>
      <c r="AM99">
        <f t="shared" si="116"/>
        <v>0</v>
      </c>
      <c r="AN99">
        <f t="shared" si="116"/>
        <v>0</v>
      </c>
      <c r="AO99">
        <f t="shared" si="116"/>
        <v>0</v>
      </c>
      <c r="AP99">
        <f t="shared" si="116"/>
        <v>0</v>
      </c>
      <c r="AQ99">
        <f t="shared" si="116"/>
        <v>0</v>
      </c>
      <c r="AR99">
        <f t="shared" si="116"/>
        <v>0</v>
      </c>
      <c r="AS99">
        <f t="shared" si="116"/>
        <v>0</v>
      </c>
      <c r="AT99">
        <f t="shared" si="116"/>
        <v>0</v>
      </c>
      <c r="AU99">
        <f t="shared" si="116"/>
        <v>0</v>
      </c>
      <c r="AV99">
        <f t="shared" si="116"/>
        <v>0</v>
      </c>
      <c r="AW99">
        <f t="shared" si="76"/>
        <v>0</v>
      </c>
      <c r="AX99">
        <f t="shared" si="85"/>
        <v>98</v>
      </c>
      <c r="AY99" s="154">
        <v>0</v>
      </c>
      <c r="AZ99" s="154">
        <f t="shared" si="77"/>
        <v>0</v>
      </c>
      <c r="BA99" s="155">
        <f t="shared" si="78"/>
        <v>0</v>
      </c>
      <c r="BB99" s="155">
        <f t="shared" si="79"/>
        <v>0</v>
      </c>
      <c r="BC99" s="155">
        <f t="shared" si="80"/>
        <v>0</v>
      </c>
      <c r="BD99" s="155">
        <f t="shared" si="81"/>
        <v>0</v>
      </c>
      <c r="BE99" s="236">
        <f t="shared" si="82"/>
        <v>0</v>
      </c>
      <c r="BF99">
        <f>X99*'Rate Class Customer Model'!O99</f>
        <v>0</v>
      </c>
      <c r="BG99" s="123">
        <f t="shared" si="83"/>
        <v>0</v>
      </c>
      <c r="BH99">
        <f t="shared" si="67"/>
        <v>1</v>
      </c>
    </row>
    <row r="100" spans="1:60" x14ac:dyDescent="0.2">
      <c r="A100" s="3">
        <v>43525</v>
      </c>
      <c r="B100">
        <f t="shared" si="70"/>
        <v>2019</v>
      </c>
      <c r="C100">
        <f t="shared" si="71"/>
        <v>3</v>
      </c>
      <c r="D100" s="46">
        <f>Purchases!D160</f>
        <v>20479900</v>
      </c>
      <c r="E100" s="46">
        <f>Purchases!E160</f>
        <v>5629704.5296799997</v>
      </c>
      <c r="F100" s="46">
        <f ca="1">CDM!D116</f>
        <v>900400.19131792709</v>
      </c>
      <c r="G100" s="46">
        <f t="shared" ca="1" si="72"/>
        <v>21380300.191317927</v>
      </c>
      <c r="H100" s="46">
        <f t="shared" si="73"/>
        <v>14850195.470320001</v>
      </c>
      <c r="I100" s="46">
        <f t="shared" ca="1" si="74"/>
        <v>15750595.661637928</v>
      </c>
      <c r="J100" s="46">
        <f>'Rate Class Customer Model'!V100</f>
        <v>14973.499999999998</v>
      </c>
      <c r="K100" s="109">
        <f>IF(C100=12,VLOOKUP(B100,'Rate Class Customer Model'!$A$32:$J$44,10,FALSE),(VLOOKUP(B100+1,'Rate Class Customer Model'!$A$32:$J$44,10,FALSE)-VLOOKUP(B100,'Rate Class Customer Model'!$A$32:$J$44,10,FALSE))/12+K99)</f>
        <v>12102.749999999998</v>
      </c>
      <c r="L100" s="152">
        <f>Economic!C100</f>
        <v>747589.4</v>
      </c>
      <c r="M100" s="152">
        <f>Economic!E100</f>
        <v>165.92157130980115</v>
      </c>
      <c r="N100" s="152">
        <f>Economic!F100</f>
        <v>7371</v>
      </c>
      <c r="O100" s="152">
        <f>Economic!G100</f>
        <v>7268.2</v>
      </c>
      <c r="P100" s="152">
        <f>Economic!H100</f>
        <v>174</v>
      </c>
      <c r="Q100" s="152">
        <f>Economic!I100</f>
        <v>171.5</v>
      </c>
      <c r="R100" s="149">
        <f>Weather!C220</f>
        <v>0.27741935483871</v>
      </c>
      <c r="S100" s="150">
        <f>Weather!D220</f>
        <v>611.39999999999986</v>
      </c>
      <c r="T100" s="150">
        <f>Weather!E220</f>
        <v>0</v>
      </c>
      <c r="U100" s="150">
        <f>Weather!F220</f>
        <v>549.4</v>
      </c>
      <c r="V100" s="150">
        <f>Weather!G220</f>
        <v>0</v>
      </c>
      <c r="W100" s="150">
        <f>Weather!H220</f>
        <v>487.4</v>
      </c>
      <c r="X100" s="150">
        <f>Weather!I220</f>
        <v>0</v>
      </c>
      <c r="Y100" s="150">
        <f>Weather!J220</f>
        <v>425.39999999999992</v>
      </c>
      <c r="Z100" s="150">
        <f>Weather!K220</f>
        <v>0</v>
      </c>
      <c r="AA100" s="150">
        <f>Weather!L220</f>
        <v>363.4</v>
      </c>
      <c r="AB100" s="150">
        <f>Weather!M220</f>
        <v>0</v>
      </c>
      <c r="AC100" s="150">
        <f>Weather!N220</f>
        <v>302.7</v>
      </c>
      <c r="AD100" s="150">
        <f>Weather!O220</f>
        <v>1.3000000000000007</v>
      </c>
      <c r="AE100" s="150">
        <f>Weather!P220</f>
        <v>244.70000000000002</v>
      </c>
      <c r="AF100" s="150">
        <f>Weather!Q220</f>
        <v>5.3000000000000007</v>
      </c>
      <c r="AG100" s="151">
        <f t="shared" si="52"/>
        <v>31</v>
      </c>
      <c r="AH100" s="151">
        <v>22</v>
      </c>
      <c r="AI100">
        <f t="shared" ref="AI100:AV100" si="117">AI88</f>
        <v>0</v>
      </c>
      <c r="AJ100">
        <f t="shared" si="117"/>
        <v>0</v>
      </c>
      <c r="AK100">
        <f t="shared" si="117"/>
        <v>1</v>
      </c>
      <c r="AL100">
        <f t="shared" si="117"/>
        <v>0</v>
      </c>
      <c r="AM100">
        <f t="shared" si="117"/>
        <v>0</v>
      </c>
      <c r="AN100">
        <f t="shared" si="117"/>
        <v>0</v>
      </c>
      <c r="AO100">
        <f t="shared" si="117"/>
        <v>0</v>
      </c>
      <c r="AP100">
        <f t="shared" si="117"/>
        <v>0</v>
      </c>
      <c r="AQ100">
        <f t="shared" si="117"/>
        <v>0</v>
      </c>
      <c r="AR100">
        <f t="shared" si="117"/>
        <v>0</v>
      </c>
      <c r="AS100">
        <f t="shared" si="117"/>
        <v>0</v>
      </c>
      <c r="AT100">
        <f t="shared" si="117"/>
        <v>0</v>
      </c>
      <c r="AU100">
        <f t="shared" si="117"/>
        <v>1</v>
      </c>
      <c r="AV100">
        <f t="shared" si="117"/>
        <v>0</v>
      </c>
      <c r="AW100">
        <f t="shared" si="76"/>
        <v>1</v>
      </c>
      <c r="AX100">
        <f t="shared" si="85"/>
        <v>99</v>
      </c>
      <c r="AY100" s="154">
        <v>0</v>
      </c>
      <c r="AZ100" s="154">
        <f t="shared" si="77"/>
        <v>0</v>
      </c>
      <c r="BA100" s="155">
        <f t="shared" si="78"/>
        <v>0</v>
      </c>
      <c r="BB100" s="155">
        <f t="shared" si="79"/>
        <v>0</v>
      </c>
      <c r="BC100" s="155">
        <f t="shared" si="80"/>
        <v>0</v>
      </c>
      <c r="BD100" s="155">
        <f t="shared" si="81"/>
        <v>0</v>
      </c>
      <c r="BE100" s="236">
        <f t="shared" si="82"/>
        <v>0</v>
      </c>
      <c r="BF100">
        <f>X100*'Rate Class Customer Model'!O100</f>
        <v>0</v>
      </c>
      <c r="BG100" s="123">
        <f t="shared" si="83"/>
        <v>0</v>
      </c>
      <c r="BH100">
        <f t="shared" si="67"/>
        <v>1</v>
      </c>
    </row>
    <row r="101" spans="1:60" x14ac:dyDescent="0.2">
      <c r="A101" s="3">
        <v>43556</v>
      </c>
      <c r="B101">
        <f t="shared" si="70"/>
        <v>2019</v>
      </c>
      <c r="C101">
        <f t="shared" si="71"/>
        <v>4</v>
      </c>
      <c r="D101" s="46">
        <f>Purchases!D161</f>
        <v>17330880</v>
      </c>
      <c r="E101" s="46">
        <f>Purchases!E161</f>
        <v>5550926.9573600003</v>
      </c>
      <c r="F101" s="46">
        <f ca="1">CDM!D117</f>
        <v>902204.16977184603</v>
      </c>
      <c r="G101" s="46">
        <f t="shared" ca="1" si="72"/>
        <v>18233084.169771846</v>
      </c>
      <c r="H101" s="46">
        <f t="shared" si="73"/>
        <v>11779953.042640001</v>
      </c>
      <c r="I101" s="46">
        <f t="shared" ca="1" si="74"/>
        <v>12682157.212411847</v>
      </c>
      <c r="J101" s="46">
        <f>'Rate Class Customer Model'!V101</f>
        <v>14985.666666666664</v>
      </c>
      <c r="K101" s="109">
        <f>IF(C101=12,VLOOKUP(B101,'Rate Class Customer Model'!$A$32:$J$44,10,FALSE),(VLOOKUP(B101+1,'Rate Class Customer Model'!$A$32:$J$44,10,FALSE)-VLOOKUP(B101,'Rate Class Customer Model'!$A$32:$J$44,10,FALSE))/12+K100)</f>
        <v>12118.666666666664</v>
      </c>
      <c r="L101" s="152">
        <f>Economic!C101</f>
        <v>747589.4</v>
      </c>
      <c r="M101" s="152">
        <f>Economic!E101</f>
        <v>166.20634752859138</v>
      </c>
      <c r="N101" s="152">
        <f>Economic!F101</f>
        <v>7395.4</v>
      </c>
      <c r="O101" s="152">
        <f>Economic!G101</f>
        <v>7304.3</v>
      </c>
      <c r="P101" s="152">
        <f>Economic!H101</f>
        <v>175.3</v>
      </c>
      <c r="Q101" s="152">
        <f>Economic!I101</f>
        <v>174</v>
      </c>
      <c r="R101" s="149">
        <f>Weather!C221</f>
        <v>8.7199999999999989</v>
      </c>
      <c r="S101" s="150">
        <f>Weather!D221</f>
        <v>338.39999999999992</v>
      </c>
      <c r="T101" s="150">
        <f>Weather!E221</f>
        <v>0</v>
      </c>
      <c r="U101" s="150">
        <f>Weather!F221</f>
        <v>278.40000000000003</v>
      </c>
      <c r="V101" s="150">
        <f>Weather!G221</f>
        <v>0</v>
      </c>
      <c r="W101" s="150">
        <f>Weather!H221</f>
        <v>218.8</v>
      </c>
      <c r="X101" s="150">
        <f>Weather!I221</f>
        <v>0.39999999999999858</v>
      </c>
      <c r="Y101" s="150">
        <f>Weather!J221</f>
        <v>162.30000000000001</v>
      </c>
      <c r="Z101" s="150">
        <f>Weather!K221</f>
        <v>3.8999999999999986</v>
      </c>
      <c r="AA101" s="150">
        <f>Weather!L221</f>
        <v>109.80000000000001</v>
      </c>
      <c r="AB101" s="150">
        <f>Weather!M221</f>
        <v>11.399999999999999</v>
      </c>
      <c r="AC101" s="150">
        <f>Weather!N221</f>
        <v>69.2</v>
      </c>
      <c r="AD101" s="150">
        <f>Weather!O221</f>
        <v>30.799999999999997</v>
      </c>
      <c r="AE101" s="150">
        <f>Weather!P221</f>
        <v>38.5</v>
      </c>
      <c r="AF101" s="150">
        <f>Weather!Q221</f>
        <v>60.100000000000009</v>
      </c>
      <c r="AG101" s="151">
        <f t="shared" si="52"/>
        <v>30</v>
      </c>
      <c r="AH101" s="151">
        <v>21</v>
      </c>
      <c r="AI101">
        <f t="shared" ref="AI101:AV101" si="118">AI89</f>
        <v>0</v>
      </c>
      <c r="AJ101">
        <f t="shared" si="118"/>
        <v>0</v>
      </c>
      <c r="AK101">
        <f t="shared" si="118"/>
        <v>0</v>
      </c>
      <c r="AL101">
        <f t="shared" si="118"/>
        <v>1</v>
      </c>
      <c r="AM101">
        <f t="shared" si="118"/>
        <v>0</v>
      </c>
      <c r="AN101">
        <f t="shared" si="118"/>
        <v>0</v>
      </c>
      <c r="AO101">
        <f t="shared" si="118"/>
        <v>0</v>
      </c>
      <c r="AP101">
        <f t="shared" si="118"/>
        <v>0</v>
      </c>
      <c r="AQ101">
        <f t="shared" si="118"/>
        <v>0</v>
      </c>
      <c r="AR101">
        <f t="shared" si="118"/>
        <v>0</v>
      </c>
      <c r="AS101">
        <f t="shared" si="118"/>
        <v>0</v>
      </c>
      <c r="AT101">
        <f t="shared" si="118"/>
        <v>0</v>
      </c>
      <c r="AU101">
        <f t="shared" si="118"/>
        <v>1</v>
      </c>
      <c r="AV101">
        <f t="shared" si="118"/>
        <v>0</v>
      </c>
      <c r="AW101">
        <f t="shared" si="76"/>
        <v>1</v>
      </c>
      <c r="AX101">
        <f t="shared" si="85"/>
        <v>100</v>
      </c>
      <c r="AY101" s="154">
        <v>0</v>
      </c>
      <c r="AZ101" s="154">
        <f t="shared" si="77"/>
        <v>0</v>
      </c>
      <c r="BA101" s="155">
        <f t="shared" si="78"/>
        <v>0</v>
      </c>
      <c r="BB101" s="155">
        <f t="shared" si="79"/>
        <v>0</v>
      </c>
      <c r="BC101" s="155">
        <f t="shared" si="80"/>
        <v>0</v>
      </c>
      <c r="BD101" s="155">
        <f t="shared" si="81"/>
        <v>0</v>
      </c>
      <c r="BE101" s="236">
        <f t="shared" si="82"/>
        <v>0.15999999999999887</v>
      </c>
      <c r="BF101">
        <f>X101*'Rate Class Customer Model'!O101</f>
        <v>4244.3999999999851</v>
      </c>
      <c r="BG101" s="123">
        <f t="shared" si="83"/>
        <v>4847.4666666666481</v>
      </c>
      <c r="BH101">
        <f t="shared" si="67"/>
        <v>1</v>
      </c>
    </row>
    <row r="102" spans="1:60" x14ac:dyDescent="0.2">
      <c r="A102" s="3">
        <v>43586</v>
      </c>
      <c r="B102">
        <f t="shared" si="70"/>
        <v>2019</v>
      </c>
      <c r="C102">
        <f t="shared" si="71"/>
        <v>5</v>
      </c>
      <c r="D102" s="46">
        <f>Purchases!D162</f>
        <v>17274480</v>
      </c>
      <c r="E102" s="46">
        <f>Purchases!E162</f>
        <v>4483993.9671200002</v>
      </c>
      <c r="F102" s="46">
        <f ca="1">CDM!D118</f>
        <v>904008.14822576486</v>
      </c>
      <c r="G102" s="46">
        <f t="shared" ca="1" si="72"/>
        <v>18178488.148225766</v>
      </c>
      <c r="H102" s="46">
        <f t="shared" si="73"/>
        <v>12790486.032880001</v>
      </c>
      <c r="I102" s="46">
        <f t="shared" ca="1" si="74"/>
        <v>13694494.181105766</v>
      </c>
      <c r="J102" s="46">
        <f>'Rate Class Customer Model'!V102</f>
        <v>14997.83333333333</v>
      </c>
      <c r="K102" s="109">
        <f>IF(C102=12,VLOOKUP(B102,'Rate Class Customer Model'!$A$32:$J$44,10,FALSE),(VLOOKUP(B102+1,'Rate Class Customer Model'!$A$32:$J$44,10,FALSE)-VLOOKUP(B102,'Rate Class Customer Model'!$A$32:$J$44,10,FALSE))/12+K101)</f>
        <v>12134.58333333333</v>
      </c>
      <c r="L102" s="152">
        <f>Economic!C102</f>
        <v>747589.4</v>
      </c>
      <c r="M102" s="152">
        <f>Economic!E102</f>
        <v>166.49112374738161</v>
      </c>
      <c r="N102" s="152">
        <f>Economic!F102</f>
        <v>7412.6</v>
      </c>
      <c r="O102" s="152">
        <f>Economic!G102</f>
        <v>7376.9</v>
      </c>
      <c r="P102" s="152">
        <f>Economic!H102</f>
        <v>175.3</v>
      </c>
      <c r="Q102" s="152">
        <f>Economic!I102</f>
        <v>175.6</v>
      </c>
      <c r="R102" s="149">
        <f>Weather!C222</f>
        <v>13.835483870967741</v>
      </c>
      <c r="S102" s="150">
        <f>Weather!D222</f>
        <v>194.20000000000002</v>
      </c>
      <c r="T102" s="150">
        <f>Weather!E222</f>
        <v>3.1000000000000014</v>
      </c>
      <c r="U102" s="150">
        <f>Weather!F222</f>
        <v>139.50000000000006</v>
      </c>
      <c r="V102" s="150">
        <f>Weather!G222</f>
        <v>10.400000000000002</v>
      </c>
      <c r="W102" s="150">
        <f>Weather!H222</f>
        <v>89.4</v>
      </c>
      <c r="X102" s="150">
        <f>Weather!I222</f>
        <v>22.3</v>
      </c>
      <c r="Y102" s="150">
        <f>Weather!J222</f>
        <v>52.599999999999994</v>
      </c>
      <c r="Z102" s="150">
        <f>Weather!K222</f>
        <v>47.5</v>
      </c>
      <c r="AA102" s="150">
        <f>Weather!L222</f>
        <v>26.499999999999996</v>
      </c>
      <c r="AB102" s="150">
        <f>Weather!M222</f>
        <v>83.399999999999991</v>
      </c>
      <c r="AC102" s="150">
        <f>Weather!N222</f>
        <v>9.5</v>
      </c>
      <c r="AD102" s="150">
        <f>Weather!O222</f>
        <v>128.39999999999998</v>
      </c>
      <c r="AE102" s="150">
        <f>Weather!P222</f>
        <v>1.6000000000000005</v>
      </c>
      <c r="AF102" s="150">
        <f>Weather!Q222</f>
        <v>182.50000000000003</v>
      </c>
      <c r="AG102" s="151">
        <f t="shared" si="52"/>
        <v>31</v>
      </c>
      <c r="AH102" s="151">
        <v>20</v>
      </c>
      <c r="AI102">
        <f t="shared" ref="AI102:AV102" si="119">AI90</f>
        <v>0</v>
      </c>
      <c r="AJ102">
        <f t="shared" si="119"/>
        <v>0</v>
      </c>
      <c r="AK102">
        <f t="shared" si="119"/>
        <v>0</v>
      </c>
      <c r="AL102">
        <f t="shared" si="119"/>
        <v>0</v>
      </c>
      <c r="AM102">
        <f t="shared" si="119"/>
        <v>1</v>
      </c>
      <c r="AN102">
        <f t="shared" si="119"/>
        <v>0</v>
      </c>
      <c r="AO102">
        <f t="shared" si="119"/>
        <v>0</v>
      </c>
      <c r="AP102">
        <f t="shared" si="119"/>
        <v>0</v>
      </c>
      <c r="AQ102">
        <f t="shared" si="119"/>
        <v>0</v>
      </c>
      <c r="AR102">
        <f t="shared" si="119"/>
        <v>0</v>
      </c>
      <c r="AS102">
        <f t="shared" si="119"/>
        <v>0</v>
      </c>
      <c r="AT102">
        <f t="shared" si="119"/>
        <v>0</v>
      </c>
      <c r="AU102">
        <f t="shared" si="119"/>
        <v>1</v>
      </c>
      <c r="AV102">
        <f t="shared" si="119"/>
        <v>0</v>
      </c>
      <c r="AW102">
        <f t="shared" si="76"/>
        <v>1</v>
      </c>
      <c r="AX102">
        <f t="shared" si="85"/>
        <v>101</v>
      </c>
      <c r="AY102" s="154">
        <v>0</v>
      </c>
      <c r="AZ102" s="154">
        <f t="shared" si="77"/>
        <v>0</v>
      </c>
      <c r="BA102" s="155">
        <f t="shared" si="78"/>
        <v>0</v>
      </c>
      <c r="BB102" s="155">
        <f t="shared" si="79"/>
        <v>0</v>
      </c>
      <c r="BC102" s="155">
        <f t="shared" si="80"/>
        <v>0</v>
      </c>
      <c r="BD102" s="155">
        <f t="shared" si="81"/>
        <v>0</v>
      </c>
      <c r="BE102" s="236">
        <f t="shared" si="82"/>
        <v>497.29</v>
      </c>
      <c r="BF102">
        <f>X102*'Rate Class Customer Model'!O102</f>
        <v>236842.72500000001</v>
      </c>
      <c r="BG102" s="123">
        <f t="shared" si="83"/>
        <v>270601.20833333326</v>
      </c>
      <c r="BH102">
        <f t="shared" si="67"/>
        <v>1</v>
      </c>
    </row>
    <row r="103" spans="1:60" x14ac:dyDescent="0.2">
      <c r="A103" s="3">
        <v>43617</v>
      </c>
      <c r="B103">
        <f t="shared" si="70"/>
        <v>2019</v>
      </c>
      <c r="C103">
        <f t="shared" si="71"/>
        <v>6</v>
      </c>
      <c r="D103" s="46">
        <f>Purchases!D163</f>
        <v>19386900</v>
      </c>
      <c r="E103" s="46">
        <f>Purchases!E163</f>
        <v>4311188.5068800002</v>
      </c>
      <c r="F103" s="46">
        <f ca="1">CDM!D119</f>
        <v>905812.12667968369</v>
      </c>
      <c r="G103" s="46">
        <f t="shared" ca="1" si="72"/>
        <v>20292712.126679685</v>
      </c>
      <c r="H103" s="46">
        <f t="shared" si="73"/>
        <v>15075711.49312</v>
      </c>
      <c r="I103" s="46">
        <f t="shared" ca="1" si="74"/>
        <v>15981523.619799685</v>
      </c>
      <c r="J103" s="46">
        <f>'Rate Class Customer Model'!V103</f>
        <v>15009.999999999996</v>
      </c>
      <c r="K103" s="109">
        <f>IF(C103=12,VLOOKUP(B103,'Rate Class Customer Model'!$A$32:$J$44,10,FALSE),(VLOOKUP(B103+1,'Rate Class Customer Model'!$A$32:$J$44,10,FALSE)-VLOOKUP(B103,'Rate Class Customer Model'!$A$32:$J$44,10,FALSE))/12+K102)</f>
        <v>12150.499999999996</v>
      </c>
      <c r="L103" s="152">
        <f>Economic!C103</f>
        <v>747589.4</v>
      </c>
      <c r="M103" s="152">
        <f>Economic!E103</f>
        <v>166.77589996617183</v>
      </c>
      <c r="N103" s="152">
        <f>Economic!F103</f>
        <v>7430.3</v>
      </c>
      <c r="O103" s="152">
        <f>Economic!G103</f>
        <v>7472.1</v>
      </c>
      <c r="P103" s="152">
        <f>Economic!H103</f>
        <v>172.7</v>
      </c>
      <c r="Q103" s="152">
        <f>Economic!I103</f>
        <v>174.4</v>
      </c>
      <c r="R103" s="149">
        <f>Weather!C223</f>
        <v>19.200000000000003</v>
      </c>
      <c r="S103" s="150">
        <f>Weather!D223</f>
        <v>56.1</v>
      </c>
      <c r="T103" s="150">
        <f>Weather!E223</f>
        <v>32.099999999999994</v>
      </c>
      <c r="U103" s="150">
        <f>Weather!F223</f>
        <v>23.9</v>
      </c>
      <c r="V103" s="150">
        <f>Weather!G223</f>
        <v>59.899999999999991</v>
      </c>
      <c r="W103" s="150">
        <f>Weather!H223</f>
        <v>7.1</v>
      </c>
      <c r="X103" s="150">
        <f>Weather!I223</f>
        <v>103.1</v>
      </c>
      <c r="Y103" s="150">
        <f>Weather!J223</f>
        <v>1.4000000000000004</v>
      </c>
      <c r="Z103" s="150">
        <f>Weather!K223</f>
        <v>157.4</v>
      </c>
      <c r="AA103" s="150">
        <f>Weather!L223</f>
        <v>0</v>
      </c>
      <c r="AB103" s="150">
        <f>Weather!M223</f>
        <v>216.00000000000003</v>
      </c>
      <c r="AC103" s="150">
        <f>Weather!N223</f>
        <v>0</v>
      </c>
      <c r="AD103" s="150">
        <f>Weather!O223</f>
        <v>275.99999999999994</v>
      </c>
      <c r="AE103" s="150">
        <f>Weather!P223</f>
        <v>0</v>
      </c>
      <c r="AF103" s="150">
        <f>Weather!Q223</f>
        <v>335.99999999999989</v>
      </c>
      <c r="AG103" s="151">
        <f t="shared" si="52"/>
        <v>30</v>
      </c>
      <c r="AH103" s="151">
        <v>22</v>
      </c>
      <c r="AI103">
        <f t="shared" ref="AI103:AV103" si="120">AI91</f>
        <v>0</v>
      </c>
      <c r="AJ103">
        <f t="shared" si="120"/>
        <v>0</v>
      </c>
      <c r="AK103">
        <f t="shared" si="120"/>
        <v>0</v>
      </c>
      <c r="AL103">
        <f t="shared" si="120"/>
        <v>0</v>
      </c>
      <c r="AM103">
        <f t="shared" si="120"/>
        <v>0</v>
      </c>
      <c r="AN103">
        <f t="shared" si="120"/>
        <v>1</v>
      </c>
      <c r="AO103">
        <f t="shared" si="120"/>
        <v>0</v>
      </c>
      <c r="AP103">
        <f t="shared" si="120"/>
        <v>0</v>
      </c>
      <c r="AQ103">
        <f t="shared" si="120"/>
        <v>0</v>
      </c>
      <c r="AR103">
        <f t="shared" si="120"/>
        <v>0</v>
      </c>
      <c r="AS103">
        <f t="shared" si="120"/>
        <v>0</v>
      </c>
      <c r="AT103">
        <f t="shared" si="120"/>
        <v>0</v>
      </c>
      <c r="AU103">
        <f t="shared" si="120"/>
        <v>0</v>
      </c>
      <c r="AV103">
        <f t="shared" si="120"/>
        <v>0</v>
      </c>
      <c r="AW103">
        <f t="shared" si="76"/>
        <v>0</v>
      </c>
      <c r="AX103">
        <f t="shared" si="85"/>
        <v>102</v>
      </c>
      <c r="AY103" s="154">
        <v>0</v>
      </c>
      <c r="AZ103" s="154">
        <f t="shared" si="77"/>
        <v>0</v>
      </c>
      <c r="BA103" s="155">
        <f t="shared" si="78"/>
        <v>0</v>
      </c>
      <c r="BB103" s="155">
        <f t="shared" si="79"/>
        <v>0</v>
      </c>
      <c r="BC103" s="155">
        <f t="shared" si="80"/>
        <v>0</v>
      </c>
      <c r="BD103" s="155">
        <f t="shared" si="81"/>
        <v>0</v>
      </c>
      <c r="BE103" s="236">
        <f t="shared" si="82"/>
        <v>10629.609999999999</v>
      </c>
      <c r="BF103">
        <f>X103*'Rate Class Customer Model'!O103</f>
        <v>1096004.55</v>
      </c>
      <c r="BG103" s="123">
        <f t="shared" si="83"/>
        <v>1252716.5499999996</v>
      </c>
      <c r="BH103">
        <f t="shared" si="67"/>
        <v>1</v>
      </c>
    </row>
    <row r="104" spans="1:60" x14ac:dyDescent="0.2">
      <c r="A104" s="3">
        <v>43647</v>
      </c>
      <c r="B104">
        <f t="shared" si="70"/>
        <v>2019</v>
      </c>
      <c r="C104">
        <f t="shared" si="71"/>
        <v>7</v>
      </c>
      <c r="D104" s="46">
        <f>Purchases!D164</f>
        <v>27626160</v>
      </c>
      <c r="E104" s="46">
        <f>Purchases!E164</f>
        <v>4945910.2180999992</v>
      </c>
      <c r="F104" s="46">
        <f ca="1">CDM!D120</f>
        <v>907616.10513360263</v>
      </c>
      <c r="G104" s="46">
        <f t="shared" ca="1" si="72"/>
        <v>28533776.105133604</v>
      </c>
      <c r="H104" s="46">
        <f t="shared" si="73"/>
        <v>22680249.7819</v>
      </c>
      <c r="I104" s="46">
        <f t="shared" ca="1" si="74"/>
        <v>23587865.887033604</v>
      </c>
      <c r="J104" s="46">
        <f>'Rate Class Customer Model'!V104</f>
        <v>15022.166666666662</v>
      </c>
      <c r="K104" s="109">
        <f>IF(C104=12,VLOOKUP(B104,'Rate Class Customer Model'!$A$32:$J$44,10,FALSE),(VLOOKUP(B104+1,'Rate Class Customer Model'!$A$32:$J$44,10,FALSE)-VLOOKUP(B104,'Rate Class Customer Model'!$A$32:$J$44,10,FALSE))/12+K103)</f>
        <v>12166.416666666662</v>
      </c>
      <c r="L104" s="152">
        <f>Economic!C104</f>
        <v>747589.4</v>
      </c>
      <c r="M104" s="152">
        <f>Economic!E104</f>
        <v>167.06067618496206</v>
      </c>
      <c r="N104" s="152">
        <f>Economic!F104</f>
        <v>7432.9</v>
      </c>
      <c r="O104" s="152">
        <f>Economic!G104</f>
        <v>7524.4</v>
      </c>
      <c r="P104" s="152">
        <f>Economic!H104</f>
        <v>169.7</v>
      </c>
      <c r="Q104" s="152">
        <f>Economic!I104</f>
        <v>170.5</v>
      </c>
      <c r="R104" s="149">
        <f>Weather!C224</f>
        <v>24.180645161290322</v>
      </c>
      <c r="S104" s="150">
        <f>Weather!D224</f>
        <v>0</v>
      </c>
      <c r="T104" s="150">
        <f>Weather!E224</f>
        <v>129.59999999999997</v>
      </c>
      <c r="U104" s="150">
        <f>Weather!F224</f>
        <v>0</v>
      </c>
      <c r="V104" s="150">
        <f>Weather!G224</f>
        <v>191.6</v>
      </c>
      <c r="W104" s="150">
        <f>Weather!H224</f>
        <v>0</v>
      </c>
      <c r="X104" s="150">
        <f>Weather!I224</f>
        <v>253.60000000000002</v>
      </c>
      <c r="Y104" s="150">
        <f>Weather!J224</f>
        <v>0</v>
      </c>
      <c r="Z104" s="150">
        <f>Weather!K224</f>
        <v>315.60000000000002</v>
      </c>
      <c r="AA104" s="150">
        <f>Weather!L224</f>
        <v>0</v>
      </c>
      <c r="AB104" s="150">
        <f>Weather!M224</f>
        <v>377.60000000000008</v>
      </c>
      <c r="AC104" s="150">
        <f>Weather!N224</f>
        <v>0</v>
      </c>
      <c r="AD104" s="150">
        <f>Weather!O224</f>
        <v>439.60000000000008</v>
      </c>
      <c r="AE104" s="150">
        <f>Weather!P224</f>
        <v>0</v>
      </c>
      <c r="AF104" s="150">
        <f>Weather!Q224</f>
        <v>501.60000000000008</v>
      </c>
      <c r="AG104" s="151">
        <f t="shared" si="52"/>
        <v>31</v>
      </c>
      <c r="AH104" s="151">
        <v>22</v>
      </c>
      <c r="AI104">
        <f t="shared" ref="AI104:AV104" si="121">AI92</f>
        <v>0</v>
      </c>
      <c r="AJ104">
        <f t="shared" si="121"/>
        <v>0</v>
      </c>
      <c r="AK104">
        <f t="shared" si="121"/>
        <v>0</v>
      </c>
      <c r="AL104">
        <f t="shared" si="121"/>
        <v>0</v>
      </c>
      <c r="AM104">
        <f t="shared" si="121"/>
        <v>0</v>
      </c>
      <c r="AN104">
        <f t="shared" si="121"/>
        <v>0</v>
      </c>
      <c r="AO104">
        <f t="shared" si="121"/>
        <v>1</v>
      </c>
      <c r="AP104">
        <f t="shared" si="121"/>
        <v>0</v>
      </c>
      <c r="AQ104">
        <f t="shared" si="121"/>
        <v>0</v>
      </c>
      <c r="AR104">
        <f t="shared" si="121"/>
        <v>0</v>
      </c>
      <c r="AS104">
        <f t="shared" si="121"/>
        <v>0</v>
      </c>
      <c r="AT104">
        <f t="shared" si="121"/>
        <v>0</v>
      </c>
      <c r="AU104">
        <f t="shared" si="121"/>
        <v>0</v>
      </c>
      <c r="AV104">
        <f t="shared" si="121"/>
        <v>0</v>
      </c>
      <c r="AW104">
        <f t="shared" si="76"/>
        <v>0</v>
      </c>
      <c r="AX104">
        <f t="shared" si="85"/>
        <v>103</v>
      </c>
      <c r="AY104" s="154">
        <v>0</v>
      </c>
      <c r="AZ104" s="154">
        <f t="shared" si="77"/>
        <v>0</v>
      </c>
      <c r="BA104" s="155">
        <f t="shared" si="78"/>
        <v>0</v>
      </c>
      <c r="BB104" s="155">
        <f t="shared" si="79"/>
        <v>0</v>
      </c>
      <c r="BC104" s="155">
        <f t="shared" si="80"/>
        <v>0</v>
      </c>
      <c r="BD104" s="155">
        <f t="shared" si="81"/>
        <v>0</v>
      </c>
      <c r="BE104" s="236">
        <f t="shared" si="82"/>
        <v>64312.960000000014</v>
      </c>
      <c r="BF104">
        <f>X104*'Rate Class Customer Model'!O104</f>
        <v>2698367.4000000004</v>
      </c>
      <c r="BG104" s="123">
        <f t="shared" si="83"/>
        <v>3085403.2666666657</v>
      </c>
      <c r="BH104">
        <f t="shared" si="67"/>
        <v>1</v>
      </c>
    </row>
    <row r="105" spans="1:60" x14ac:dyDescent="0.2">
      <c r="A105" s="3">
        <v>43678</v>
      </c>
      <c r="B105">
        <f t="shared" si="70"/>
        <v>2019</v>
      </c>
      <c r="C105">
        <f t="shared" si="71"/>
        <v>8</v>
      </c>
      <c r="D105" s="46">
        <f>Purchases!D165</f>
        <v>24612440</v>
      </c>
      <c r="E105" s="46">
        <f>Purchases!E165</f>
        <v>7444291.86326</v>
      </c>
      <c r="F105" s="46">
        <f ca="1">CDM!D121</f>
        <v>909420.08358752145</v>
      </c>
      <c r="G105" s="46">
        <f t="shared" ca="1" si="72"/>
        <v>25521860.08358752</v>
      </c>
      <c r="H105" s="46">
        <f t="shared" si="73"/>
        <v>17168148.136739999</v>
      </c>
      <c r="I105" s="46">
        <f t="shared" ca="1" si="74"/>
        <v>18077568.220327519</v>
      </c>
      <c r="J105" s="46">
        <f>'Rate Class Customer Model'!V105</f>
        <v>15034.333333333328</v>
      </c>
      <c r="K105" s="109">
        <f>IF(C105=12,VLOOKUP(B105,'Rate Class Customer Model'!$A$32:$J$44,10,FALSE),(VLOOKUP(B105+1,'Rate Class Customer Model'!$A$32:$J$44,10,FALSE)-VLOOKUP(B105,'Rate Class Customer Model'!$A$32:$J$44,10,FALSE))/12+K104)</f>
        <v>12182.333333333328</v>
      </c>
      <c r="L105" s="152">
        <f>Economic!C105</f>
        <v>747589.4</v>
      </c>
      <c r="M105" s="152">
        <f>Economic!E105</f>
        <v>167.34545240375229</v>
      </c>
      <c r="N105" s="152">
        <f>Economic!F105</f>
        <v>7449.6</v>
      </c>
      <c r="O105" s="152">
        <f>Economic!G105</f>
        <v>7540.9</v>
      </c>
      <c r="P105" s="152">
        <f>Economic!H105</f>
        <v>167.9</v>
      </c>
      <c r="Q105" s="152">
        <f>Economic!I105</f>
        <v>168.8</v>
      </c>
      <c r="R105" s="149">
        <f>Weather!C225</f>
        <v>22.035483870967742</v>
      </c>
      <c r="S105" s="150">
        <f>Weather!D225</f>
        <v>8.0999999999999979</v>
      </c>
      <c r="T105" s="150">
        <f>Weather!E225</f>
        <v>71.2</v>
      </c>
      <c r="U105" s="150">
        <f>Weather!F225</f>
        <v>0.39999999999999858</v>
      </c>
      <c r="V105" s="150">
        <f>Weather!G225</f>
        <v>125.50000000000001</v>
      </c>
      <c r="W105" s="150">
        <f>Weather!H225</f>
        <v>0</v>
      </c>
      <c r="X105" s="150">
        <f>Weather!I225</f>
        <v>187.09999999999994</v>
      </c>
      <c r="Y105" s="150">
        <f>Weather!J225</f>
        <v>0</v>
      </c>
      <c r="Z105" s="150">
        <f>Weather!K225</f>
        <v>249.09999999999994</v>
      </c>
      <c r="AA105" s="150">
        <f>Weather!L225</f>
        <v>0</v>
      </c>
      <c r="AB105" s="150">
        <f>Weather!M225</f>
        <v>311.09999999999991</v>
      </c>
      <c r="AC105" s="150">
        <f>Weather!N225</f>
        <v>0</v>
      </c>
      <c r="AD105" s="150">
        <f>Weather!O225</f>
        <v>373.09999999999997</v>
      </c>
      <c r="AE105" s="150">
        <f>Weather!P225</f>
        <v>0</v>
      </c>
      <c r="AF105" s="150">
        <f>Weather!Q225</f>
        <v>435.09999999999997</v>
      </c>
      <c r="AG105" s="151">
        <f t="shared" si="52"/>
        <v>31</v>
      </c>
      <c r="AH105" s="151">
        <v>20</v>
      </c>
      <c r="AI105">
        <f t="shared" ref="AI105:AV105" si="122">AI93</f>
        <v>0</v>
      </c>
      <c r="AJ105">
        <f t="shared" si="122"/>
        <v>0</v>
      </c>
      <c r="AK105">
        <f t="shared" si="122"/>
        <v>0</v>
      </c>
      <c r="AL105">
        <f t="shared" si="122"/>
        <v>0</v>
      </c>
      <c r="AM105">
        <f t="shared" si="122"/>
        <v>0</v>
      </c>
      <c r="AN105">
        <f t="shared" si="122"/>
        <v>0</v>
      </c>
      <c r="AO105">
        <f t="shared" si="122"/>
        <v>0</v>
      </c>
      <c r="AP105">
        <f t="shared" si="122"/>
        <v>1</v>
      </c>
      <c r="AQ105">
        <f t="shared" si="122"/>
        <v>0</v>
      </c>
      <c r="AR105">
        <f t="shared" si="122"/>
        <v>0</v>
      </c>
      <c r="AS105">
        <f t="shared" si="122"/>
        <v>0</v>
      </c>
      <c r="AT105">
        <f t="shared" si="122"/>
        <v>0</v>
      </c>
      <c r="AU105">
        <f t="shared" si="122"/>
        <v>0</v>
      </c>
      <c r="AV105">
        <f t="shared" si="122"/>
        <v>0</v>
      </c>
      <c r="AW105">
        <f t="shared" si="76"/>
        <v>0</v>
      </c>
      <c r="AX105">
        <f t="shared" si="85"/>
        <v>104</v>
      </c>
      <c r="AY105" s="154">
        <v>0</v>
      </c>
      <c r="AZ105" s="154">
        <f t="shared" si="77"/>
        <v>0</v>
      </c>
      <c r="BA105" s="155">
        <f t="shared" si="78"/>
        <v>0</v>
      </c>
      <c r="BB105" s="155">
        <f t="shared" si="79"/>
        <v>0</v>
      </c>
      <c r="BC105" s="155">
        <f t="shared" si="80"/>
        <v>0</v>
      </c>
      <c r="BD105" s="155">
        <f t="shared" si="81"/>
        <v>0</v>
      </c>
      <c r="BE105" s="236">
        <f t="shared" si="82"/>
        <v>35006.409999999974</v>
      </c>
      <c r="BF105">
        <f>X105*'Rate Class Customer Model'!O105</f>
        <v>1992614.9999999993</v>
      </c>
      <c r="BG105" s="123">
        <f t="shared" si="83"/>
        <v>2279314.566666665</v>
      </c>
      <c r="BH105">
        <f t="shared" si="67"/>
        <v>1</v>
      </c>
    </row>
    <row r="106" spans="1:60" x14ac:dyDescent="0.2">
      <c r="A106" s="3">
        <v>43709</v>
      </c>
      <c r="B106">
        <f t="shared" si="70"/>
        <v>2019</v>
      </c>
      <c r="C106">
        <f t="shared" si="71"/>
        <v>9</v>
      </c>
      <c r="D106" s="46">
        <f>Purchases!D166</f>
        <v>20453280</v>
      </c>
      <c r="E106" s="46">
        <f>Purchases!E166</f>
        <v>6404989.5357000008</v>
      </c>
      <c r="F106" s="46">
        <f ca="1">CDM!D122</f>
        <v>911224.0620414404</v>
      </c>
      <c r="G106" s="46">
        <f t="shared" ca="1" si="72"/>
        <v>21364504.062041439</v>
      </c>
      <c r="H106" s="46">
        <f t="shared" si="73"/>
        <v>14048290.464299999</v>
      </c>
      <c r="I106" s="46">
        <f t="shared" ca="1" si="74"/>
        <v>14959514.526341438</v>
      </c>
      <c r="J106" s="46">
        <f>'Rate Class Customer Model'!V106</f>
        <v>15046.499999999995</v>
      </c>
      <c r="K106" s="109">
        <f>IF(C106=12,VLOOKUP(B106,'Rate Class Customer Model'!$A$32:$J$44,10,FALSE),(VLOOKUP(B106+1,'Rate Class Customer Model'!$A$32:$J$44,10,FALSE)-VLOOKUP(B106,'Rate Class Customer Model'!$A$32:$J$44,10,FALSE))/12+K105)</f>
        <v>12198.249999999995</v>
      </c>
      <c r="L106" s="152">
        <f>Economic!C106</f>
        <v>747589.4</v>
      </c>
      <c r="M106" s="152">
        <f>Economic!E106</f>
        <v>167.63022862254252</v>
      </c>
      <c r="N106" s="152">
        <f>Economic!F106</f>
        <v>7478.3</v>
      </c>
      <c r="O106" s="152">
        <f>Economic!G106</f>
        <v>7535</v>
      </c>
      <c r="P106" s="152">
        <f>Economic!H106</f>
        <v>168.4</v>
      </c>
      <c r="Q106" s="152">
        <f>Economic!I106</f>
        <v>168.6</v>
      </c>
      <c r="R106" s="149">
        <f>Weather!C226</f>
        <v>19.206666666666667</v>
      </c>
      <c r="S106" s="150">
        <f>Weather!D226</f>
        <v>46.099999999999994</v>
      </c>
      <c r="T106" s="150">
        <f>Weather!E226</f>
        <v>22.3</v>
      </c>
      <c r="U106" s="150">
        <f>Weather!F226</f>
        <v>14.699999999999998</v>
      </c>
      <c r="V106" s="150">
        <f>Weather!G226</f>
        <v>50.9</v>
      </c>
      <c r="W106" s="150">
        <f>Weather!H226</f>
        <v>2.0999999999999996</v>
      </c>
      <c r="X106" s="150">
        <f>Weather!I226</f>
        <v>98.300000000000011</v>
      </c>
      <c r="Y106" s="150">
        <f>Weather!J226</f>
        <v>0</v>
      </c>
      <c r="Z106" s="150">
        <f>Weather!K226</f>
        <v>156.19999999999999</v>
      </c>
      <c r="AA106" s="150">
        <f>Weather!L226</f>
        <v>0</v>
      </c>
      <c r="AB106" s="150">
        <f>Weather!M226</f>
        <v>216.19999999999996</v>
      </c>
      <c r="AC106" s="150">
        <f>Weather!N226</f>
        <v>0</v>
      </c>
      <c r="AD106" s="150">
        <f>Weather!O226</f>
        <v>276.2</v>
      </c>
      <c r="AE106" s="150">
        <f>Weather!P226</f>
        <v>0</v>
      </c>
      <c r="AF106" s="150">
        <f>Weather!Q226</f>
        <v>336.20000000000005</v>
      </c>
      <c r="AG106" s="151">
        <f t="shared" si="52"/>
        <v>30</v>
      </c>
      <c r="AH106" s="151">
        <v>21</v>
      </c>
      <c r="AI106">
        <f t="shared" ref="AI106:AV106" si="123">AI94</f>
        <v>0</v>
      </c>
      <c r="AJ106">
        <f t="shared" si="123"/>
        <v>0</v>
      </c>
      <c r="AK106">
        <f t="shared" si="123"/>
        <v>0</v>
      </c>
      <c r="AL106">
        <f t="shared" si="123"/>
        <v>0</v>
      </c>
      <c r="AM106">
        <f t="shared" si="123"/>
        <v>0</v>
      </c>
      <c r="AN106">
        <f t="shared" si="123"/>
        <v>0</v>
      </c>
      <c r="AO106">
        <f t="shared" si="123"/>
        <v>0</v>
      </c>
      <c r="AP106">
        <f t="shared" si="123"/>
        <v>0</v>
      </c>
      <c r="AQ106">
        <f t="shared" si="123"/>
        <v>1</v>
      </c>
      <c r="AR106">
        <f t="shared" si="123"/>
        <v>0</v>
      </c>
      <c r="AS106">
        <f t="shared" si="123"/>
        <v>0</v>
      </c>
      <c r="AT106">
        <f t="shared" si="123"/>
        <v>0</v>
      </c>
      <c r="AU106">
        <f t="shared" si="123"/>
        <v>0</v>
      </c>
      <c r="AV106">
        <f t="shared" si="123"/>
        <v>1</v>
      </c>
      <c r="AW106">
        <f t="shared" si="76"/>
        <v>1</v>
      </c>
      <c r="AX106">
        <f t="shared" si="85"/>
        <v>105</v>
      </c>
      <c r="AY106" s="154">
        <v>0</v>
      </c>
      <c r="AZ106" s="154">
        <f t="shared" si="77"/>
        <v>0</v>
      </c>
      <c r="BA106" s="155">
        <f t="shared" si="78"/>
        <v>0</v>
      </c>
      <c r="BB106" s="155">
        <f t="shared" si="79"/>
        <v>0</v>
      </c>
      <c r="BC106" s="155">
        <f t="shared" si="80"/>
        <v>0</v>
      </c>
      <c r="BD106" s="155">
        <f t="shared" si="81"/>
        <v>0</v>
      </c>
      <c r="BE106" s="236">
        <f t="shared" si="82"/>
        <v>9662.8900000000031</v>
      </c>
      <c r="BF106">
        <f>X106*'Rate Class Customer Model'!O106</f>
        <v>1047853.4250000002</v>
      </c>
      <c r="BG106" s="123">
        <f t="shared" si="83"/>
        <v>1199087.9749999996</v>
      </c>
      <c r="BH106">
        <f t="shared" si="67"/>
        <v>1</v>
      </c>
    </row>
    <row r="107" spans="1:60" x14ac:dyDescent="0.2">
      <c r="A107" s="3">
        <v>43739</v>
      </c>
      <c r="B107">
        <f t="shared" si="70"/>
        <v>2019</v>
      </c>
      <c r="C107">
        <f t="shared" si="71"/>
        <v>10</v>
      </c>
      <c r="D107" s="46">
        <f>Purchases!D167</f>
        <v>17608300</v>
      </c>
      <c r="E107" s="46">
        <f>Purchases!E167</f>
        <v>5117054.9380399995</v>
      </c>
      <c r="F107" s="46">
        <f ca="1">CDM!D123</f>
        <v>913028.04049535922</v>
      </c>
      <c r="G107" s="46">
        <f t="shared" ca="1" si="72"/>
        <v>18521328.040495358</v>
      </c>
      <c r="H107" s="46">
        <f t="shared" si="73"/>
        <v>12491245.061960001</v>
      </c>
      <c r="I107" s="46">
        <f t="shared" ca="1" si="74"/>
        <v>13404273.102455359</v>
      </c>
      <c r="J107" s="46">
        <f>'Rate Class Customer Model'!V107</f>
        <v>15058.666666666661</v>
      </c>
      <c r="K107" s="109">
        <f>IF(C107=12,VLOOKUP(B107,'Rate Class Customer Model'!$A$32:$J$44,10,FALSE),(VLOOKUP(B107+1,'Rate Class Customer Model'!$A$32:$J$44,10,FALSE)-VLOOKUP(B107,'Rate Class Customer Model'!$A$32:$J$44,10,FALSE))/12+K106)</f>
        <v>12214.166666666661</v>
      </c>
      <c r="L107" s="152">
        <f>Economic!C107</f>
        <v>747589.4</v>
      </c>
      <c r="M107" s="152">
        <f>Economic!E107</f>
        <v>167.91500484133275</v>
      </c>
      <c r="N107" s="152">
        <f>Economic!F107</f>
        <v>7504</v>
      </c>
      <c r="O107" s="152">
        <f>Economic!G107</f>
        <v>7538.5</v>
      </c>
      <c r="P107" s="152">
        <f>Economic!H107</f>
        <v>168.9</v>
      </c>
      <c r="Q107" s="152">
        <f>Economic!I107</f>
        <v>170.1</v>
      </c>
      <c r="R107" s="149">
        <f>Weather!C227</f>
        <v>11.664516129032259</v>
      </c>
      <c r="S107" s="150">
        <f>Weather!D227</f>
        <v>263.40000000000003</v>
      </c>
      <c r="T107" s="150">
        <f>Weather!E227</f>
        <v>5</v>
      </c>
      <c r="U107" s="150">
        <f>Weather!F227</f>
        <v>204.10000000000002</v>
      </c>
      <c r="V107" s="150">
        <f>Weather!G227</f>
        <v>7.6999999999999993</v>
      </c>
      <c r="W107" s="150">
        <f>Weather!H227</f>
        <v>147.70000000000002</v>
      </c>
      <c r="X107" s="150">
        <f>Weather!I227</f>
        <v>13.3</v>
      </c>
      <c r="Y107" s="150">
        <f>Weather!J227</f>
        <v>96.199999999999989</v>
      </c>
      <c r="Z107" s="150">
        <f>Weather!K227</f>
        <v>23.799999999999997</v>
      </c>
      <c r="AA107" s="150">
        <f>Weather!L227</f>
        <v>55.199999999999989</v>
      </c>
      <c r="AB107" s="150">
        <f>Weather!M227</f>
        <v>44.8</v>
      </c>
      <c r="AC107" s="150">
        <f>Weather!N227</f>
        <v>26.900000000000006</v>
      </c>
      <c r="AD107" s="150">
        <f>Weather!O227</f>
        <v>78.499999999999986</v>
      </c>
      <c r="AE107" s="150">
        <f>Weather!P227</f>
        <v>10.199999999999999</v>
      </c>
      <c r="AF107" s="150">
        <f>Weather!Q227</f>
        <v>123.79999999999998</v>
      </c>
      <c r="AG107" s="151">
        <f t="shared" si="52"/>
        <v>31</v>
      </c>
      <c r="AH107" s="151">
        <v>21</v>
      </c>
      <c r="AI107">
        <f t="shared" ref="AI107:AV107" si="124">AI95</f>
        <v>0</v>
      </c>
      <c r="AJ107">
        <f t="shared" si="124"/>
        <v>0</v>
      </c>
      <c r="AK107">
        <f t="shared" si="124"/>
        <v>0</v>
      </c>
      <c r="AL107">
        <f t="shared" si="124"/>
        <v>0</v>
      </c>
      <c r="AM107">
        <f t="shared" si="124"/>
        <v>0</v>
      </c>
      <c r="AN107">
        <f t="shared" si="124"/>
        <v>0</v>
      </c>
      <c r="AO107">
        <f t="shared" si="124"/>
        <v>0</v>
      </c>
      <c r="AP107">
        <f t="shared" si="124"/>
        <v>0</v>
      </c>
      <c r="AQ107">
        <f t="shared" si="124"/>
        <v>0</v>
      </c>
      <c r="AR107">
        <f t="shared" si="124"/>
        <v>1</v>
      </c>
      <c r="AS107">
        <f t="shared" si="124"/>
        <v>0</v>
      </c>
      <c r="AT107">
        <f t="shared" si="124"/>
        <v>0</v>
      </c>
      <c r="AU107">
        <f t="shared" si="124"/>
        <v>0</v>
      </c>
      <c r="AV107">
        <f t="shared" si="124"/>
        <v>1</v>
      </c>
      <c r="AW107">
        <f t="shared" si="76"/>
        <v>1</v>
      </c>
      <c r="AX107">
        <f t="shared" si="85"/>
        <v>106</v>
      </c>
      <c r="AY107" s="154">
        <v>0</v>
      </c>
      <c r="AZ107" s="154">
        <f t="shared" si="77"/>
        <v>0</v>
      </c>
      <c r="BA107" s="155">
        <f t="shared" si="78"/>
        <v>0</v>
      </c>
      <c r="BB107" s="155">
        <f t="shared" si="79"/>
        <v>0</v>
      </c>
      <c r="BC107" s="155">
        <f t="shared" si="80"/>
        <v>0</v>
      </c>
      <c r="BD107" s="155">
        <f t="shared" si="81"/>
        <v>0</v>
      </c>
      <c r="BE107" s="236">
        <f t="shared" si="82"/>
        <v>176.89000000000001</v>
      </c>
      <c r="BF107">
        <f>X107*'Rate Class Customer Model'!O107</f>
        <v>141904.35</v>
      </c>
      <c r="BG107" s="123">
        <f t="shared" si="83"/>
        <v>162448.4166666666</v>
      </c>
      <c r="BH107">
        <f t="shared" si="67"/>
        <v>1</v>
      </c>
    </row>
    <row r="108" spans="1:60" x14ac:dyDescent="0.2">
      <c r="A108" s="3">
        <v>43770</v>
      </c>
      <c r="B108">
        <f t="shared" si="70"/>
        <v>2019</v>
      </c>
      <c r="C108">
        <f t="shared" si="71"/>
        <v>11</v>
      </c>
      <c r="D108" s="46">
        <f>Purchases!D168</f>
        <v>19781220</v>
      </c>
      <c r="E108" s="46">
        <f>Purchases!E168</f>
        <v>4459105.9743999988</v>
      </c>
      <c r="F108" s="46">
        <f ca="1">CDM!D124</f>
        <v>914832.01894927805</v>
      </c>
      <c r="G108" s="46">
        <f t="shared" ca="1" si="72"/>
        <v>20696052.018949278</v>
      </c>
      <c r="H108" s="46">
        <f t="shared" si="73"/>
        <v>15322114.025600001</v>
      </c>
      <c r="I108" s="46">
        <f t="shared" ca="1" si="74"/>
        <v>16236946.044549279</v>
      </c>
      <c r="J108" s="46">
        <f>'Rate Class Customer Model'!V108</f>
        <v>15070.833333333327</v>
      </c>
      <c r="K108" s="109">
        <f>IF(C108=12,VLOOKUP(B108,'Rate Class Customer Model'!$A$32:$J$44,10,FALSE),(VLOOKUP(B108+1,'Rate Class Customer Model'!$A$32:$J$44,10,FALSE)-VLOOKUP(B108,'Rate Class Customer Model'!$A$32:$J$44,10,FALSE))/12+K107)</f>
        <v>12230.083333333327</v>
      </c>
      <c r="L108" s="152">
        <f>Economic!C108</f>
        <v>747589.4</v>
      </c>
      <c r="M108" s="152">
        <f>Economic!E108</f>
        <v>168.19978106012297</v>
      </c>
      <c r="N108" s="152">
        <f>Economic!F108</f>
        <v>7517.3</v>
      </c>
      <c r="O108" s="152">
        <f>Economic!G108</f>
        <v>7530.1</v>
      </c>
      <c r="P108" s="152">
        <f>Economic!H108</f>
        <v>167.4</v>
      </c>
      <c r="Q108" s="152">
        <f>Economic!I108</f>
        <v>167.8</v>
      </c>
      <c r="R108" s="149">
        <f>Weather!C228</f>
        <v>1.4933333333333334</v>
      </c>
      <c r="S108" s="150">
        <f>Weather!D228</f>
        <v>555.19999999999982</v>
      </c>
      <c r="T108" s="150">
        <f>Weather!E228</f>
        <v>0</v>
      </c>
      <c r="U108" s="150">
        <f>Weather!F228</f>
        <v>495.19999999999993</v>
      </c>
      <c r="V108" s="150">
        <f>Weather!G228</f>
        <v>0</v>
      </c>
      <c r="W108" s="150">
        <f>Weather!H228</f>
        <v>435.2</v>
      </c>
      <c r="X108" s="150">
        <f>Weather!I228</f>
        <v>0</v>
      </c>
      <c r="Y108" s="150">
        <f>Weather!J228</f>
        <v>375.2</v>
      </c>
      <c r="Z108" s="150">
        <f>Weather!K228</f>
        <v>0</v>
      </c>
      <c r="AA108" s="150">
        <f>Weather!L228</f>
        <v>315.20000000000005</v>
      </c>
      <c r="AB108" s="150">
        <f>Weather!M228</f>
        <v>0</v>
      </c>
      <c r="AC108" s="150">
        <f>Weather!N228</f>
        <v>255.20000000000007</v>
      </c>
      <c r="AD108" s="150">
        <f>Weather!O228</f>
        <v>0</v>
      </c>
      <c r="AE108" s="150">
        <f>Weather!P228</f>
        <v>195.80000000000007</v>
      </c>
      <c r="AF108" s="150">
        <f>Weather!Q228</f>
        <v>0.59999999999999964</v>
      </c>
      <c r="AG108" s="151">
        <f t="shared" si="52"/>
        <v>30</v>
      </c>
      <c r="AH108" s="151">
        <v>21</v>
      </c>
      <c r="AI108">
        <f t="shared" ref="AI108:AV108" si="125">AI96</f>
        <v>0</v>
      </c>
      <c r="AJ108">
        <f t="shared" si="125"/>
        <v>0</v>
      </c>
      <c r="AK108">
        <f t="shared" si="125"/>
        <v>0</v>
      </c>
      <c r="AL108">
        <f t="shared" si="125"/>
        <v>0</v>
      </c>
      <c r="AM108">
        <f t="shared" si="125"/>
        <v>0</v>
      </c>
      <c r="AN108">
        <f t="shared" si="125"/>
        <v>0</v>
      </c>
      <c r="AO108">
        <f t="shared" si="125"/>
        <v>0</v>
      </c>
      <c r="AP108">
        <f t="shared" si="125"/>
        <v>0</v>
      </c>
      <c r="AQ108">
        <f t="shared" si="125"/>
        <v>0</v>
      </c>
      <c r="AR108">
        <f t="shared" si="125"/>
        <v>0</v>
      </c>
      <c r="AS108">
        <f t="shared" si="125"/>
        <v>1</v>
      </c>
      <c r="AT108">
        <f t="shared" si="125"/>
        <v>0</v>
      </c>
      <c r="AU108">
        <f t="shared" si="125"/>
        <v>0</v>
      </c>
      <c r="AV108">
        <f t="shared" si="125"/>
        <v>1</v>
      </c>
      <c r="AW108">
        <f t="shared" si="76"/>
        <v>1</v>
      </c>
      <c r="AX108">
        <f t="shared" si="85"/>
        <v>107</v>
      </c>
      <c r="AY108" s="154">
        <v>0</v>
      </c>
      <c r="AZ108" s="154">
        <f t="shared" si="77"/>
        <v>0</v>
      </c>
      <c r="BA108" s="155">
        <f t="shared" si="78"/>
        <v>0</v>
      </c>
      <c r="BB108" s="155">
        <f t="shared" si="79"/>
        <v>0</v>
      </c>
      <c r="BC108" s="155">
        <f t="shared" si="80"/>
        <v>0</v>
      </c>
      <c r="BD108" s="155">
        <f t="shared" si="81"/>
        <v>0</v>
      </c>
      <c r="BE108" s="236">
        <f t="shared" si="82"/>
        <v>0</v>
      </c>
      <c r="BF108">
        <f>X108*'Rate Class Customer Model'!O108</f>
        <v>0</v>
      </c>
      <c r="BG108" s="123">
        <f t="shared" si="83"/>
        <v>0</v>
      </c>
      <c r="BH108">
        <f t="shared" si="67"/>
        <v>1</v>
      </c>
    </row>
    <row r="109" spans="1:60" x14ac:dyDescent="0.2">
      <c r="A109" s="3">
        <v>43800</v>
      </c>
      <c r="B109">
        <f t="shared" si="70"/>
        <v>2019</v>
      </c>
      <c r="C109">
        <f t="shared" si="71"/>
        <v>12</v>
      </c>
      <c r="D109" s="46">
        <f>Purchases!D169</f>
        <v>21302160</v>
      </c>
      <c r="E109" s="46">
        <f>Purchases!E169</f>
        <v>5345813.8230799995</v>
      </c>
      <c r="F109" s="46">
        <f ca="1">CDM!D125</f>
        <v>916635.99740319699</v>
      </c>
      <c r="G109" s="46">
        <f t="shared" ca="1" si="72"/>
        <v>22218795.997403197</v>
      </c>
      <c r="H109" s="46">
        <f t="shared" si="73"/>
        <v>15956346.17692</v>
      </c>
      <c r="I109" s="46">
        <f t="shared" ca="1" si="74"/>
        <v>16872982.174323197</v>
      </c>
      <c r="J109" s="46">
        <f>'Rate Class Customer Model'!V109</f>
        <v>15083</v>
      </c>
      <c r="K109" s="109">
        <f>IF(C109=12,VLOOKUP(B109,'Rate Class Customer Model'!$A$32:$J$44,10,FALSE),(VLOOKUP(B109+1,'Rate Class Customer Model'!$A$32:$J$44,10,FALSE)-VLOOKUP(B109,'Rate Class Customer Model'!$A$32:$J$44,10,FALSE))/12+K108)</f>
        <v>12173</v>
      </c>
      <c r="L109" s="152">
        <f>Economic!C109</f>
        <v>747589.4</v>
      </c>
      <c r="M109" s="152">
        <f>Economic!E109</f>
        <v>168.4845572789132</v>
      </c>
      <c r="N109" s="152">
        <f>Economic!F109</f>
        <v>7525</v>
      </c>
      <c r="O109" s="152">
        <f>Economic!G109</f>
        <v>7535.2</v>
      </c>
      <c r="P109" s="152">
        <f>Economic!H109</f>
        <v>166.8</v>
      </c>
      <c r="Q109" s="152">
        <f>Economic!I109</f>
        <v>167.2</v>
      </c>
      <c r="R109" s="149">
        <f>Weather!C229</f>
        <v>0.97096774193548374</v>
      </c>
      <c r="S109" s="150">
        <f>Weather!D229</f>
        <v>589.90000000000009</v>
      </c>
      <c r="T109" s="150">
        <f>Weather!E229</f>
        <v>0</v>
      </c>
      <c r="U109" s="150">
        <f>Weather!F229</f>
        <v>527.90000000000009</v>
      </c>
      <c r="V109" s="150">
        <f>Weather!G229</f>
        <v>0</v>
      </c>
      <c r="W109" s="150">
        <f>Weather!H229</f>
        <v>465.90000000000009</v>
      </c>
      <c r="X109" s="150">
        <f>Weather!I229</f>
        <v>0</v>
      </c>
      <c r="Y109" s="150">
        <f>Weather!J229</f>
        <v>403.90000000000009</v>
      </c>
      <c r="Z109" s="150">
        <f>Weather!K229</f>
        <v>0</v>
      </c>
      <c r="AA109" s="150">
        <f>Weather!L229</f>
        <v>341.90000000000009</v>
      </c>
      <c r="AB109" s="150">
        <f>Weather!M229</f>
        <v>0</v>
      </c>
      <c r="AC109" s="150">
        <f>Weather!N229</f>
        <v>279.90000000000009</v>
      </c>
      <c r="AD109" s="150">
        <f>Weather!O229</f>
        <v>0</v>
      </c>
      <c r="AE109" s="150">
        <f>Weather!P229</f>
        <v>218.60000000000002</v>
      </c>
      <c r="AF109" s="150">
        <f>Weather!Q229</f>
        <v>0.69999999999999929</v>
      </c>
      <c r="AG109" s="151">
        <f t="shared" si="52"/>
        <v>31</v>
      </c>
      <c r="AH109" s="151">
        <v>21</v>
      </c>
      <c r="AI109">
        <f t="shared" ref="AI109:AV109" si="126">AI97</f>
        <v>0</v>
      </c>
      <c r="AJ109">
        <f t="shared" si="126"/>
        <v>0</v>
      </c>
      <c r="AK109">
        <f t="shared" si="126"/>
        <v>0</v>
      </c>
      <c r="AL109">
        <f t="shared" si="126"/>
        <v>0</v>
      </c>
      <c r="AM109">
        <f t="shared" si="126"/>
        <v>0</v>
      </c>
      <c r="AN109">
        <f t="shared" si="126"/>
        <v>0</v>
      </c>
      <c r="AO109">
        <f t="shared" si="126"/>
        <v>0</v>
      </c>
      <c r="AP109">
        <f t="shared" si="126"/>
        <v>0</v>
      </c>
      <c r="AQ109">
        <f t="shared" si="126"/>
        <v>0</v>
      </c>
      <c r="AR109">
        <f t="shared" si="126"/>
        <v>0</v>
      </c>
      <c r="AS109">
        <f t="shared" si="126"/>
        <v>0</v>
      </c>
      <c r="AT109">
        <f t="shared" si="126"/>
        <v>1</v>
      </c>
      <c r="AU109">
        <f t="shared" si="126"/>
        <v>0</v>
      </c>
      <c r="AV109">
        <f t="shared" si="126"/>
        <v>0</v>
      </c>
      <c r="AW109">
        <f t="shared" si="76"/>
        <v>0</v>
      </c>
      <c r="AX109">
        <f t="shared" si="85"/>
        <v>108</v>
      </c>
      <c r="AY109" s="154">
        <v>0</v>
      </c>
      <c r="AZ109" s="154">
        <f t="shared" si="77"/>
        <v>0</v>
      </c>
      <c r="BA109" s="155">
        <f t="shared" si="78"/>
        <v>0</v>
      </c>
      <c r="BB109" s="155">
        <f t="shared" si="79"/>
        <v>0</v>
      </c>
      <c r="BC109" s="155">
        <f t="shared" si="80"/>
        <v>0</v>
      </c>
      <c r="BD109" s="155">
        <f t="shared" si="81"/>
        <v>0</v>
      </c>
      <c r="BE109" s="236">
        <f t="shared" si="82"/>
        <v>0</v>
      </c>
      <c r="BF109">
        <f>X109*'Rate Class Customer Model'!O109</f>
        <v>0</v>
      </c>
      <c r="BG109" s="123">
        <f t="shared" si="83"/>
        <v>0</v>
      </c>
      <c r="BH109">
        <f t="shared" si="67"/>
        <v>1</v>
      </c>
    </row>
    <row r="110" spans="1:60" x14ac:dyDescent="0.2">
      <c r="A110" s="3">
        <v>43831</v>
      </c>
      <c r="B110">
        <f t="shared" si="70"/>
        <v>2020</v>
      </c>
      <c r="C110">
        <f t="shared" si="71"/>
        <v>1</v>
      </c>
      <c r="D110" s="46">
        <f>Purchases!D170</f>
        <v>21866419.999999996</v>
      </c>
      <c r="E110" s="46">
        <f>Purchases!E170</f>
        <v>5957914.3985799998</v>
      </c>
      <c r="F110" s="46">
        <f ca="1">CDM!D126</f>
        <v>917901.90536950564</v>
      </c>
      <c r="G110" s="46">
        <f t="shared" ca="1" si="72"/>
        <v>22784321.905369502</v>
      </c>
      <c r="H110" s="46">
        <f t="shared" si="73"/>
        <v>15908505.601419996</v>
      </c>
      <c r="I110" s="46">
        <f t="shared" ca="1" si="74"/>
        <v>16826407.506789502</v>
      </c>
      <c r="J110" s="46">
        <f>'Rate Class Customer Model'!V110</f>
        <v>15105.083333333334</v>
      </c>
      <c r="K110" s="109">
        <f>IF(C110=12,VLOOKUP(B110,'Rate Class Customer Model'!$A$32:$J$44,10,FALSE),(VLOOKUP(B110+1,'Rate Class Customer Model'!$A$32:$J$44,10,FALSE)-VLOOKUP(B110,'Rate Class Customer Model'!$A$32:$J$44,10,FALSE))/12+K109)</f>
        <v>12181.791304500977</v>
      </c>
      <c r="L110" s="152">
        <f>Economic!C110</f>
        <v>710048.9</v>
      </c>
      <c r="M110" s="152">
        <f>Economic!E110</f>
        <v>167.77951400666052</v>
      </c>
      <c r="N110" s="152">
        <f>Economic!F110</f>
        <v>7542</v>
      </c>
      <c r="O110" s="152">
        <f>Economic!G110</f>
        <v>7512.5</v>
      </c>
      <c r="P110" s="152">
        <f>Economic!H110</f>
        <v>165.3</v>
      </c>
      <c r="Q110" s="152">
        <f>Economic!I110</f>
        <v>164</v>
      </c>
      <c r="R110" s="149">
        <f>Weather!C230</f>
        <v>-0.1032258064516129</v>
      </c>
      <c r="S110" s="150">
        <f>Weather!D230</f>
        <v>623.20000000000016</v>
      </c>
      <c r="T110" s="150">
        <f>Weather!E230</f>
        <v>0</v>
      </c>
      <c r="U110" s="150">
        <f>Weather!F230</f>
        <v>561.20000000000016</v>
      </c>
      <c r="V110" s="150">
        <f>Weather!G230</f>
        <v>0</v>
      </c>
      <c r="W110" s="150">
        <f>Weather!H230</f>
        <v>499.2000000000001</v>
      </c>
      <c r="X110" s="150">
        <f>Weather!I230</f>
        <v>0</v>
      </c>
      <c r="Y110" s="150">
        <f>Weather!J230</f>
        <v>437.2000000000001</v>
      </c>
      <c r="Z110" s="150">
        <f>Weather!K230</f>
        <v>0</v>
      </c>
      <c r="AA110" s="150">
        <f>Weather!L230</f>
        <v>375.2000000000001</v>
      </c>
      <c r="AB110" s="150">
        <f>Weather!M230</f>
        <v>0</v>
      </c>
      <c r="AC110" s="150">
        <f>Weather!N230</f>
        <v>313.2000000000001</v>
      </c>
      <c r="AD110" s="150">
        <f>Weather!O230</f>
        <v>0</v>
      </c>
      <c r="AE110" s="150">
        <f>Weather!P230</f>
        <v>251.2</v>
      </c>
      <c r="AF110" s="150">
        <f>Weather!Q230</f>
        <v>0</v>
      </c>
      <c r="AG110" s="151">
        <f t="shared" si="52"/>
        <v>31</v>
      </c>
      <c r="AH110" s="151">
        <v>22</v>
      </c>
      <c r="AI110">
        <f t="shared" ref="AI110:AV110" si="127">AI98</f>
        <v>1</v>
      </c>
      <c r="AJ110">
        <f t="shared" si="127"/>
        <v>0</v>
      </c>
      <c r="AK110">
        <f t="shared" si="127"/>
        <v>0</v>
      </c>
      <c r="AL110">
        <f t="shared" si="127"/>
        <v>0</v>
      </c>
      <c r="AM110">
        <f t="shared" si="127"/>
        <v>0</v>
      </c>
      <c r="AN110">
        <f t="shared" si="127"/>
        <v>0</v>
      </c>
      <c r="AO110">
        <f t="shared" si="127"/>
        <v>0</v>
      </c>
      <c r="AP110">
        <f t="shared" si="127"/>
        <v>0</v>
      </c>
      <c r="AQ110">
        <f t="shared" si="127"/>
        <v>0</v>
      </c>
      <c r="AR110">
        <f t="shared" si="127"/>
        <v>0</v>
      </c>
      <c r="AS110">
        <f t="shared" si="127"/>
        <v>0</v>
      </c>
      <c r="AT110">
        <f t="shared" si="127"/>
        <v>0</v>
      </c>
      <c r="AU110">
        <f t="shared" si="127"/>
        <v>0</v>
      </c>
      <c r="AV110">
        <f t="shared" si="127"/>
        <v>0</v>
      </c>
      <c r="AW110">
        <f t="shared" si="76"/>
        <v>0</v>
      </c>
      <c r="AX110">
        <f t="shared" si="85"/>
        <v>109</v>
      </c>
      <c r="AY110" s="154">
        <v>0</v>
      </c>
      <c r="AZ110" s="154">
        <f t="shared" si="77"/>
        <v>0</v>
      </c>
      <c r="BA110" s="155">
        <f t="shared" si="78"/>
        <v>0</v>
      </c>
      <c r="BB110" s="155">
        <f t="shared" si="79"/>
        <v>0</v>
      </c>
      <c r="BC110" s="155">
        <f t="shared" si="80"/>
        <v>0</v>
      </c>
      <c r="BD110" s="155">
        <f t="shared" si="81"/>
        <v>0</v>
      </c>
      <c r="BE110" s="236">
        <f t="shared" si="82"/>
        <v>0</v>
      </c>
      <c r="BF110">
        <f>X110*'Rate Class Customer Model'!O110</f>
        <v>0</v>
      </c>
      <c r="BG110" s="123">
        <f t="shared" si="83"/>
        <v>0</v>
      </c>
      <c r="BH110">
        <f t="shared" si="67"/>
        <v>1</v>
      </c>
    </row>
    <row r="111" spans="1:60" x14ac:dyDescent="0.2">
      <c r="A111" s="3">
        <v>43862</v>
      </c>
      <c r="B111">
        <f t="shared" si="70"/>
        <v>2020</v>
      </c>
      <c r="C111">
        <f t="shared" si="71"/>
        <v>2</v>
      </c>
      <c r="D111" s="46">
        <f>Purchases!D171</f>
        <v>20225660</v>
      </c>
      <c r="E111" s="46">
        <f>Purchases!E171</f>
        <v>5929405.9422800001</v>
      </c>
      <c r="F111" s="46">
        <f ca="1">CDM!D127</f>
        <v>916389.01300639787</v>
      </c>
      <c r="G111" s="46">
        <f t="shared" ca="1" si="72"/>
        <v>21142049.013006397</v>
      </c>
      <c r="H111" s="46">
        <f t="shared" si="73"/>
        <v>14296254.05772</v>
      </c>
      <c r="I111" s="46">
        <f t="shared" ca="1" si="74"/>
        <v>15212643.070726397</v>
      </c>
      <c r="J111" s="46">
        <f>'Rate Class Customer Model'!V111</f>
        <v>15127.166666666668</v>
      </c>
      <c r="K111" s="109">
        <f>IF(C111=12,VLOOKUP(B111,'Rate Class Customer Model'!$A$32:$J$44,10,FALSE),(VLOOKUP(B111+1,'Rate Class Customer Model'!$A$32:$J$44,10,FALSE)-VLOOKUP(B111,'Rate Class Customer Model'!$A$32:$J$44,10,FALSE))/12+K110)</f>
        <v>12190.582609001955</v>
      </c>
      <c r="L111" s="152">
        <f>Economic!C111</f>
        <v>710048.9</v>
      </c>
      <c r="M111" s="152">
        <f>Economic!E111</f>
        <v>167.07447073440784</v>
      </c>
      <c r="N111" s="152">
        <f>Economic!F111</f>
        <v>7551.9</v>
      </c>
      <c r="O111" s="152">
        <f>Economic!G111</f>
        <v>7488.9</v>
      </c>
      <c r="P111" s="152">
        <f>Economic!H111</f>
        <v>167.3</v>
      </c>
      <c r="Q111" s="152">
        <f>Economic!I111</f>
        <v>165.6</v>
      </c>
      <c r="R111" s="149">
        <f>Weather!C231</f>
        <v>-1.6310344827586205</v>
      </c>
      <c r="S111" s="150">
        <f>Weather!D231</f>
        <v>627.29999999999973</v>
      </c>
      <c r="T111" s="150">
        <f>Weather!E231</f>
        <v>0</v>
      </c>
      <c r="U111" s="150">
        <f>Weather!F231</f>
        <v>569.29999999999984</v>
      </c>
      <c r="V111" s="150">
        <f>Weather!G231</f>
        <v>0</v>
      </c>
      <c r="W111" s="150">
        <f>Weather!H231</f>
        <v>511.29999999999995</v>
      </c>
      <c r="X111" s="150">
        <f>Weather!I231</f>
        <v>0</v>
      </c>
      <c r="Y111" s="150">
        <f>Weather!J231</f>
        <v>453.29999999999995</v>
      </c>
      <c r="Z111" s="150">
        <f>Weather!K231</f>
        <v>0</v>
      </c>
      <c r="AA111" s="150">
        <f>Weather!L231</f>
        <v>395.3</v>
      </c>
      <c r="AB111" s="150">
        <f>Weather!M231</f>
        <v>0</v>
      </c>
      <c r="AC111" s="150">
        <f>Weather!N231</f>
        <v>337.30000000000007</v>
      </c>
      <c r="AD111" s="150">
        <f>Weather!O231</f>
        <v>0</v>
      </c>
      <c r="AE111" s="150">
        <f>Weather!P231</f>
        <v>279.3</v>
      </c>
      <c r="AF111" s="150">
        <f>Weather!Q231</f>
        <v>0</v>
      </c>
      <c r="AG111" s="151">
        <f t="shared" si="52"/>
        <v>29</v>
      </c>
      <c r="AH111" s="151">
        <v>19</v>
      </c>
      <c r="AI111">
        <f t="shared" ref="AI111:AV111" si="128">AI99</f>
        <v>0</v>
      </c>
      <c r="AJ111">
        <f t="shared" si="128"/>
        <v>1</v>
      </c>
      <c r="AK111">
        <f t="shared" si="128"/>
        <v>0</v>
      </c>
      <c r="AL111">
        <f t="shared" si="128"/>
        <v>0</v>
      </c>
      <c r="AM111">
        <f t="shared" si="128"/>
        <v>0</v>
      </c>
      <c r="AN111">
        <f t="shared" si="128"/>
        <v>0</v>
      </c>
      <c r="AO111">
        <f t="shared" si="128"/>
        <v>0</v>
      </c>
      <c r="AP111">
        <f t="shared" si="128"/>
        <v>0</v>
      </c>
      <c r="AQ111">
        <f t="shared" si="128"/>
        <v>0</v>
      </c>
      <c r="AR111">
        <f t="shared" si="128"/>
        <v>0</v>
      </c>
      <c r="AS111">
        <f t="shared" si="128"/>
        <v>0</v>
      </c>
      <c r="AT111">
        <f t="shared" si="128"/>
        <v>0</v>
      </c>
      <c r="AU111">
        <f t="shared" si="128"/>
        <v>0</v>
      </c>
      <c r="AV111">
        <f t="shared" si="128"/>
        <v>0</v>
      </c>
      <c r="AW111">
        <f t="shared" si="76"/>
        <v>0</v>
      </c>
      <c r="AX111">
        <f t="shared" si="85"/>
        <v>110</v>
      </c>
      <c r="AY111" s="154">
        <v>0</v>
      </c>
      <c r="AZ111" s="154">
        <f t="shared" si="77"/>
        <v>0</v>
      </c>
      <c r="BA111" s="155">
        <f t="shared" si="78"/>
        <v>0</v>
      </c>
      <c r="BB111" s="155">
        <f t="shared" si="79"/>
        <v>0</v>
      </c>
      <c r="BC111" s="155">
        <f t="shared" si="80"/>
        <v>0</v>
      </c>
      <c r="BD111" s="155">
        <f t="shared" si="81"/>
        <v>0</v>
      </c>
      <c r="BE111" s="236">
        <f t="shared" si="82"/>
        <v>0</v>
      </c>
      <c r="BF111">
        <f>X111*'Rate Class Customer Model'!O111</f>
        <v>0</v>
      </c>
      <c r="BG111" s="123">
        <f t="shared" si="83"/>
        <v>0</v>
      </c>
      <c r="BH111">
        <f t="shared" si="67"/>
        <v>1</v>
      </c>
    </row>
    <row r="112" spans="1:60" x14ac:dyDescent="0.2">
      <c r="A112" s="3">
        <v>43891</v>
      </c>
      <c r="B112">
        <f t="shared" si="70"/>
        <v>2020</v>
      </c>
      <c r="C112">
        <f t="shared" si="71"/>
        <v>3</v>
      </c>
      <c r="D112" s="46">
        <f>Purchases!D172</f>
        <v>19574300</v>
      </c>
      <c r="E112" s="46">
        <f>Purchases!E172</f>
        <v>5454114.7809799993</v>
      </c>
      <c r="F112" s="46">
        <f ca="1">CDM!D128</f>
        <v>914876.12064328999</v>
      </c>
      <c r="G112" s="46">
        <f t="shared" ca="1" si="72"/>
        <v>20489176.120643292</v>
      </c>
      <c r="H112" s="46">
        <f t="shared" si="73"/>
        <v>14120185.219020002</v>
      </c>
      <c r="I112" s="46">
        <f t="shared" ca="1" si="74"/>
        <v>15035061.339663293</v>
      </c>
      <c r="J112" s="46">
        <f>'Rate Class Customer Model'!V112</f>
        <v>15149.250000000002</v>
      </c>
      <c r="K112" s="109">
        <f>IF(C112=12,VLOOKUP(B112,'Rate Class Customer Model'!$A$32:$J$44,10,FALSE),(VLOOKUP(B112+1,'Rate Class Customer Model'!$A$32:$J$44,10,FALSE)-VLOOKUP(B112,'Rate Class Customer Model'!$A$32:$J$44,10,FALSE))/12+K111)</f>
        <v>12199.373913502932</v>
      </c>
      <c r="L112" s="152">
        <f>Economic!C112</f>
        <v>710048.9</v>
      </c>
      <c r="M112" s="152">
        <f>Economic!E112</f>
        <v>166.36942746215516</v>
      </c>
      <c r="N112" s="152">
        <f>Economic!F112</f>
        <v>7421.9</v>
      </c>
      <c r="O112" s="152">
        <f>Economic!G112</f>
        <v>7317</v>
      </c>
      <c r="P112" s="152">
        <f>Economic!H112</f>
        <v>161.19999999999999</v>
      </c>
      <c r="Q112" s="152">
        <f>Economic!I112</f>
        <v>158.5</v>
      </c>
      <c r="R112" s="149">
        <f>Weather!C232</f>
        <v>4.3806451612903219</v>
      </c>
      <c r="S112" s="150">
        <f>Weather!D232</f>
        <v>484.19999999999993</v>
      </c>
      <c r="T112" s="150">
        <f>Weather!E232</f>
        <v>0</v>
      </c>
      <c r="U112" s="150">
        <f>Weather!F232</f>
        <v>422.2</v>
      </c>
      <c r="V112" s="150">
        <f>Weather!G232</f>
        <v>0</v>
      </c>
      <c r="W112" s="150">
        <f>Weather!H232</f>
        <v>360.20000000000005</v>
      </c>
      <c r="X112" s="150">
        <f>Weather!I232</f>
        <v>0</v>
      </c>
      <c r="Y112" s="150">
        <f>Weather!J232</f>
        <v>298.20000000000005</v>
      </c>
      <c r="Z112" s="150">
        <f>Weather!K232</f>
        <v>0</v>
      </c>
      <c r="AA112" s="150">
        <f>Weather!L232</f>
        <v>236.9</v>
      </c>
      <c r="AB112" s="150">
        <f>Weather!M232</f>
        <v>0.69999999999999929</v>
      </c>
      <c r="AC112" s="150">
        <f>Weather!N232</f>
        <v>178.3</v>
      </c>
      <c r="AD112" s="150">
        <f>Weather!O232</f>
        <v>4.0999999999999996</v>
      </c>
      <c r="AE112" s="150">
        <f>Weather!P232</f>
        <v>122.70000000000002</v>
      </c>
      <c r="AF112" s="150">
        <f>Weather!Q232</f>
        <v>10.5</v>
      </c>
      <c r="AG112" s="151">
        <f t="shared" si="52"/>
        <v>31</v>
      </c>
      <c r="AH112" s="151">
        <v>22</v>
      </c>
      <c r="AI112">
        <f t="shared" ref="AI112:AV112" si="129">AI100</f>
        <v>0</v>
      </c>
      <c r="AJ112">
        <f t="shared" si="129"/>
        <v>0</v>
      </c>
      <c r="AK112">
        <f t="shared" si="129"/>
        <v>1</v>
      </c>
      <c r="AL112">
        <f t="shared" si="129"/>
        <v>0</v>
      </c>
      <c r="AM112">
        <f t="shared" si="129"/>
        <v>0</v>
      </c>
      <c r="AN112">
        <f t="shared" si="129"/>
        <v>0</v>
      </c>
      <c r="AO112">
        <f t="shared" si="129"/>
        <v>0</v>
      </c>
      <c r="AP112">
        <f t="shared" si="129"/>
        <v>0</v>
      </c>
      <c r="AQ112">
        <f t="shared" si="129"/>
        <v>0</v>
      </c>
      <c r="AR112">
        <f t="shared" si="129"/>
        <v>0</v>
      </c>
      <c r="AS112">
        <f t="shared" si="129"/>
        <v>0</v>
      </c>
      <c r="AT112">
        <f t="shared" si="129"/>
        <v>0</v>
      </c>
      <c r="AU112">
        <f t="shared" si="129"/>
        <v>1</v>
      </c>
      <c r="AV112">
        <f t="shared" si="129"/>
        <v>0</v>
      </c>
      <c r="AW112">
        <f t="shared" si="76"/>
        <v>1</v>
      </c>
      <c r="AX112">
        <f t="shared" si="85"/>
        <v>111</v>
      </c>
      <c r="AY112" s="154">
        <v>1</v>
      </c>
      <c r="AZ112" s="154">
        <f>AY112/2</f>
        <v>0.5</v>
      </c>
      <c r="BA112" s="155">
        <f t="shared" si="78"/>
        <v>422.2</v>
      </c>
      <c r="BB112" s="155">
        <f t="shared" si="79"/>
        <v>0</v>
      </c>
      <c r="BC112" s="155">
        <f t="shared" si="80"/>
        <v>360.20000000000005</v>
      </c>
      <c r="BD112" s="155">
        <f t="shared" si="81"/>
        <v>0</v>
      </c>
      <c r="BE112" s="236">
        <f t="shared" si="82"/>
        <v>0</v>
      </c>
      <c r="BF112">
        <f>X112*'Rate Class Customer Model'!O112</f>
        <v>0</v>
      </c>
      <c r="BG112" s="123">
        <f t="shared" si="83"/>
        <v>0</v>
      </c>
      <c r="BH112">
        <f t="shared" si="67"/>
        <v>1</v>
      </c>
    </row>
    <row r="113" spans="1:60" x14ac:dyDescent="0.2">
      <c r="A113" s="3">
        <v>43922</v>
      </c>
      <c r="B113">
        <f t="shared" si="70"/>
        <v>2020</v>
      </c>
      <c r="C113">
        <f t="shared" si="71"/>
        <v>4</v>
      </c>
      <c r="D113" s="46">
        <f>Purchases!D173</f>
        <v>16976080</v>
      </c>
      <c r="E113" s="46">
        <f>Purchases!E173</f>
        <v>5165860.59626</v>
      </c>
      <c r="F113" s="46">
        <f ca="1">CDM!D129</f>
        <v>913363.22828018223</v>
      </c>
      <c r="G113" s="46">
        <f t="shared" ca="1" si="72"/>
        <v>17889443.228280183</v>
      </c>
      <c r="H113" s="46">
        <f t="shared" si="73"/>
        <v>11810219.40374</v>
      </c>
      <c r="I113" s="46">
        <f t="shared" ca="1" si="74"/>
        <v>12723582.632020183</v>
      </c>
      <c r="J113" s="46">
        <f>'Rate Class Customer Model'!V113</f>
        <v>15171.333333333336</v>
      </c>
      <c r="K113" s="109">
        <f>IF(C113=12,VLOOKUP(B113,'Rate Class Customer Model'!$A$32:$J$44,10,FALSE),(VLOOKUP(B113+1,'Rate Class Customer Model'!$A$32:$J$44,10,FALSE)-VLOOKUP(B113,'Rate Class Customer Model'!$A$32:$J$44,10,FALSE))/12+K112)</f>
        <v>12208.165218003909</v>
      </c>
      <c r="L113" s="152">
        <f>Economic!C113</f>
        <v>710048.9</v>
      </c>
      <c r="M113" s="152">
        <f>Economic!E113</f>
        <v>165.66438418990248</v>
      </c>
      <c r="N113" s="152">
        <f>Economic!F113</f>
        <v>7056.8</v>
      </c>
      <c r="O113" s="152">
        <f>Economic!G113</f>
        <v>6968.7</v>
      </c>
      <c r="P113" s="152">
        <f>Economic!H113</f>
        <v>147.80000000000001</v>
      </c>
      <c r="Q113" s="152">
        <f>Economic!I113</f>
        <v>146.5</v>
      </c>
      <c r="R113" s="149">
        <f>Weather!C233</f>
        <v>6.7833333333333332</v>
      </c>
      <c r="S113" s="150">
        <f>Weather!D233</f>
        <v>396.50000000000006</v>
      </c>
      <c r="T113" s="150">
        <f>Weather!E233</f>
        <v>0</v>
      </c>
      <c r="U113" s="150">
        <f>Weather!F233</f>
        <v>336.5</v>
      </c>
      <c r="V113" s="150">
        <f>Weather!G233</f>
        <v>0</v>
      </c>
      <c r="W113" s="150">
        <f>Weather!H233</f>
        <v>276.5</v>
      </c>
      <c r="X113" s="150">
        <f>Weather!I233</f>
        <v>0</v>
      </c>
      <c r="Y113" s="150">
        <f>Weather!J233</f>
        <v>219.2</v>
      </c>
      <c r="Z113" s="150">
        <f>Weather!K233</f>
        <v>2.7000000000000011</v>
      </c>
      <c r="AA113" s="150">
        <f>Weather!L233</f>
        <v>165.9</v>
      </c>
      <c r="AB113" s="150">
        <f>Weather!M233</f>
        <v>9.4000000000000021</v>
      </c>
      <c r="AC113" s="150">
        <f>Weather!N233</f>
        <v>115.30000000000001</v>
      </c>
      <c r="AD113" s="150">
        <f>Weather!O233</f>
        <v>18.800000000000004</v>
      </c>
      <c r="AE113" s="150">
        <f>Weather!P233</f>
        <v>68.500000000000014</v>
      </c>
      <c r="AF113" s="150">
        <f>Weather!Q233</f>
        <v>31.999999999999996</v>
      </c>
      <c r="AG113" s="151">
        <f t="shared" si="52"/>
        <v>30</v>
      </c>
      <c r="AH113" s="151">
        <v>21</v>
      </c>
      <c r="AI113">
        <f t="shared" ref="AI113:AV113" si="130">AI101</f>
        <v>0</v>
      </c>
      <c r="AJ113">
        <f t="shared" si="130"/>
        <v>0</v>
      </c>
      <c r="AK113">
        <f t="shared" si="130"/>
        <v>0</v>
      </c>
      <c r="AL113">
        <f t="shared" si="130"/>
        <v>1</v>
      </c>
      <c r="AM113">
        <f t="shared" si="130"/>
        <v>0</v>
      </c>
      <c r="AN113">
        <f t="shared" si="130"/>
        <v>0</v>
      </c>
      <c r="AO113">
        <f t="shared" si="130"/>
        <v>0</v>
      </c>
      <c r="AP113">
        <f t="shared" si="130"/>
        <v>0</v>
      </c>
      <c r="AQ113">
        <f t="shared" si="130"/>
        <v>0</v>
      </c>
      <c r="AR113">
        <f t="shared" si="130"/>
        <v>0</v>
      </c>
      <c r="AS113">
        <f t="shared" si="130"/>
        <v>0</v>
      </c>
      <c r="AT113">
        <f t="shared" si="130"/>
        <v>0</v>
      </c>
      <c r="AU113">
        <f t="shared" si="130"/>
        <v>1</v>
      </c>
      <c r="AV113">
        <f t="shared" si="130"/>
        <v>0</v>
      </c>
      <c r="AW113">
        <f t="shared" si="76"/>
        <v>1</v>
      </c>
      <c r="AX113">
        <f t="shared" si="85"/>
        <v>112</v>
      </c>
      <c r="AY113" s="154">
        <v>1</v>
      </c>
      <c r="AZ113" s="154">
        <f t="shared" si="77"/>
        <v>1</v>
      </c>
      <c r="BA113" s="155">
        <f t="shared" si="78"/>
        <v>336.5</v>
      </c>
      <c r="BB113" s="155">
        <f t="shared" si="79"/>
        <v>0</v>
      </c>
      <c r="BC113" s="155">
        <f t="shared" si="80"/>
        <v>276.5</v>
      </c>
      <c r="BD113" s="155">
        <f t="shared" si="81"/>
        <v>0</v>
      </c>
      <c r="BE113" s="236">
        <f t="shared" si="82"/>
        <v>0</v>
      </c>
      <c r="BF113">
        <f>X113*'Rate Class Customer Model'!O113</f>
        <v>0</v>
      </c>
      <c r="BG113" s="123">
        <f t="shared" si="83"/>
        <v>0</v>
      </c>
      <c r="BH113">
        <f t="shared" si="67"/>
        <v>1</v>
      </c>
    </row>
    <row r="114" spans="1:60" x14ac:dyDescent="0.2">
      <c r="A114" s="3">
        <v>43952</v>
      </c>
      <c r="B114">
        <f t="shared" si="70"/>
        <v>2020</v>
      </c>
      <c r="C114">
        <f t="shared" si="71"/>
        <v>5</v>
      </c>
      <c r="D114" s="46">
        <f>Purchases!D174</f>
        <v>17713720</v>
      </c>
      <c r="E114" s="46">
        <f>Purchases!E174</f>
        <v>4799083.8038800005</v>
      </c>
      <c r="F114" s="46">
        <f ca="1">CDM!D130</f>
        <v>911850.33591707447</v>
      </c>
      <c r="G114" s="46">
        <f t="shared" ca="1" si="72"/>
        <v>18625570.335917074</v>
      </c>
      <c r="H114" s="46">
        <f t="shared" si="73"/>
        <v>12914636.19612</v>
      </c>
      <c r="I114" s="46">
        <f t="shared" ca="1" si="74"/>
        <v>13826486.532037074</v>
      </c>
      <c r="J114" s="46">
        <f>'Rate Class Customer Model'!V114</f>
        <v>15193.41666666667</v>
      </c>
      <c r="K114" s="109">
        <f>IF(C114=12,VLOOKUP(B114,'Rate Class Customer Model'!$A$32:$J$44,10,FALSE),(VLOOKUP(B114+1,'Rate Class Customer Model'!$A$32:$J$44,10,FALSE)-VLOOKUP(B114,'Rate Class Customer Model'!$A$32:$J$44,10,FALSE))/12+K113)</f>
        <v>12216.956522504886</v>
      </c>
      <c r="L114" s="152">
        <f>Economic!C114</f>
        <v>710048.9</v>
      </c>
      <c r="M114" s="152">
        <f>Economic!E114</f>
        <v>164.9593409176498</v>
      </c>
      <c r="N114" s="152">
        <f>Economic!F114</f>
        <v>6671.4</v>
      </c>
      <c r="O114" s="152">
        <f>Economic!G114</f>
        <v>6632</v>
      </c>
      <c r="P114" s="152">
        <f>Economic!H114</f>
        <v>135.4</v>
      </c>
      <c r="Q114" s="152">
        <f>Economic!I114</f>
        <v>135.4</v>
      </c>
      <c r="R114" s="149">
        <f>Weather!C234</f>
        <v>13.677419354838712</v>
      </c>
      <c r="S114" s="150">
        <f>Weather!D234</f>
        <v>211</v>
      </c>
      <c r="T114" s="150">
        <f>Weather!E234</f>
        <v>15</v>
      </c>
      <c r="U114" s="150">
        <f>Weather!F234</f>
        <v>160.50000000000003</v>
      </c>
      <c r="V114" s="150">
        <f>Weather!G234</f>
        <v>26.5</v>
      </c>
      <c r="W114" s="150">
        <f>Weather!H234</f>
        <v>115.20000000000002</v>
      </c>
      <c r="X114" s="150">
        <f>Weather!I234</f>
        <v>43.2</v>
      </c>
      <c r="Y114" s="150">
        <f>Weather!J234</f>
        <v>79.800000000000011</v>
      </c>
      <c r="Z114" s="150">
        <f>Weather!K234</f>
        <v>69.8</v>
      </c>
      <c r="AA114" s="150">
        <f>Weather!L234</f>
        <v>52.2</v>
      </c>
      <c r="AB114" s="150">
        <f>Weather!M234</f>
        <v>104.19999999999999</v>
      </c>
      <c r="AC114" s="150">
        <f>Weather!N234</f>
        <v>31.799999999999997</v>
      </c>
      <c r="AD114" s="150">
        <f>Weather!O234</f>
        <v>145.79999999999998</v>
      </c>
      <c r="AE114" s="150">
        <f>Weather!P234</f>
        <v>14.8</v>
      </c>
      <c r="AF114" s="150">
        <f>Weather!Q234</f>
        <v>190.79999999999998</v>
      </c>
      <c r="AG114" s="151">
        <f t="shared" si="52"/>
        <v>31</v>
      </c>
      <c r="AH114" s="151">
        <v>20</v>
      </c>
      <c r="AI114">
        <f t="shared" ref="AI114:AV114" si="131">AI102</f>
        <v>0</v>
      </c>
      <c r="AJ114">
        <f t="shared" si="131"/>
        <v>0</v>
      </c>
      <c r="AK114">
        <f t="shared" si="131"/>
        <v>0</v>
      </c>
      <c r="AL114">
        <f t="shared" si="131"/>
        <v>0</v>
      </c>
      <c r="AM114">
        <f t="shared" si="131"/>
        <v>1</v>
      </c>
      <c r="AN114">
        <f t="shared" si="131"/>
        <v>0</v>
      </c>
      <c r="AO114">
        <f t="shared" si="131"/>
        <v>0</v>
      </c>
      <c r="AP114">
        <f t="shared" si="131"/>
        <v>0</v>
      </c>
      <c r="AQ114">
        <f t="shared" si="131"/>
        <v>0</v>
      </c>
      <c r="AR114">
        <f t="shared" si="131"/>
        <v>0</v>
      </c>
      <c r="AS114">
        <f t="shared" si="131"/>
        <v>0</v>
      </c>
      <c r="AT114">
        <f t="shared" si="131"/>
        <v>0</v>
      </c>
      <c r="AU114">
        <f t="shared" si="131"/>
        <v>1</v>
      </c>
      <c r="AV114">
        <f t="shared" si="131"/>
        <v>0</v>
      </c>
      <c r="AW114">
        <f t="shared" si="76"/>
        <v>1</v>
      </c>
      <c r="AX114">
        <f t="shared" si="85"/>
        <v>113</v>
      </c>
      <c r="AY114" s="154">
        <v>1</v>
      </c>
      <c r="AZ114" s="154">
        <f t="shared" si="77"/>
        <v>1</v>
      </c>
      <c r="BA114" s="155">
        <f t="shared" si="78"/>
        <v>160.50000000000003</v>
      </c>
      <c r="BB114" s="155">
        <f t="shared" si="79"/>
        <v>26.5</v>
      </c>
      <c r="BC114" s="155">
        <f t="shared" si="80"/>
        <v>115.20000000000002</v>
      </c>
      <c r="BD114" s="155">
        <f t="shared" si="81"/>
        <v>43.2</v>
      </c>
      <c r="BE114" s="236">
        <f t="shared" si="82"/>
        <v>1866.2400000000002</v>
      </c>
      <c r="BF114">
        <f>X114*'Rate Class Customer Model'!O114</f>
        <v>464878.79999999987</v>
      </c>
      <c r="BG114" s="123">
        <f t="shared" si="83"/>
        <v>527772.52177221107</v>
      </c>
      <c r="BH114">
        <f t="shared" si="67"/>
        <v>1</v>
      </c>
    </row>
    <row r="115" spans="1:60" x14ac:dyDescent="0.2">
      <c r="A115" s="3">
        <v>43983</v>
      </c>
      <c r="B115">
        <f t="shared" si="70"/>
        <v>2020</v>
      </c>
      <c r="C115">
        <f t="shared" si="71"/>
        <v>6</v>
      </c>
      <c r="D115" s="46">
        <f>Purchases!D175</f>
        <v>22065520</v>
      </c>
      <c r="E115" s="46">
        <f>Purchases!E175</f>
        <v>4820394.2487199996</v>
      </c>
      <c r="F115" s="46">
        <f ca="1">CDM!D131</f>
        <v>910337.4435539667</v>
      </c>
      <c r="G115" s="46">
        <f t="shared" ca="1" si="72"/>
        <v>22975857.443553966</v>
      </c>
      <c r="H115" s="46">
        <f t="shared" si="73"/>
        <v>17245125.751280002</v>
      </c>
      <c r="I115" s="46">
        <f t="shared" ca="1" si="74"/>
        <v>18155463.194833964</v>
      </c>
      <c r="J115" s="46">
        <f>'Rate Class Customer Model'!V115</f>
        <v>15215.500000000004</v>
      </c>
      <c r="K115" s="109">
        <f>IF(C115=12,VLOOKUP(B115,'Rate Class Customer Model'!$A$32:$J$44,10,FALSE),(VLOOKUP(B115+1,'Rate Class Customer Model'!$A$32:$J$44,10,FALSE)-VLOOKUP(B115,'Rate Class Customer Model'!$A$32:$J$44,10,FALSE))/12+K114)</f>
        <v>12225.747827005864</v>
      </c>
      <c r="L115" s="152">
        <f>Economic!C115</f>
        <v>710048.9</v>
      </c>
      <c r="M115" s="152">
        <f>Economic!E115</f>
        <v>164.25429764539712</v>
      </c>
      <c r="N115" s="152">
        <f>Economic!F115</f>
        <v>6546.1</v>
      </c>
      <c r="O115" s="152">
        <f>Economic!G115</f>
        <v>6583</v>
      </c>
      <c r="P115" s="152">
        <f>Economic!H115</f>
        <v>136.9</v>
      </c>
      <c r="Q115" s="152">
        <f>Economic!I115</f>
        <v>137.6</v>
      </c>
      <c r="R115" s="149">
        <f>Weather!C235</f>
        <v>21.35</v>
      </c>
      <c r="S115" s="150">
        <f>Weather!D235</f>
        <v>24.199999999999996</v>
      </c>
      <c r="T115" s="150">
        <f>Weather!E235</f>
        <v>64.7</v>
      </c>
      <c r="U115" s="150">
        <f>Weather!F235</f>
        <v>10.799999999999999</v>
      </c>
      <c r="V115" s="150">
        <f>Weather!G235</f>
        <v>111.3</v>
      </c>
      <c r="W115" s="150">
        <f>Weather!H235</f>
        <v>4.4000000000000004</v>
      </c>
      <c r="X115" s="150">
        <f>Weather!I235</f>
        <v>164.9</v>
      </c>
      <c r="Y115" s="150">
        <f>Weather!J235</f>
        <v>0</v>
      </c>
      <c r="Z115" s="150">
        <f>Weather!K235</f>
        <v>220.5</v>
      </c>
      <c r="AA115" s="150">
        <f>Weather!L235</f>
        <v>0</v>
      </c>
      <c r="AB115" s="150">
        <f>Weather!M235</f>
        <v>280.5</v>
      </c>
      <c r="AC115" s="150">
        <f>Weather!N235</f>
        <v>0</v>
      </c>
      <c r="AD115" s="150">
        <f>Weather!O235</f>
        <v>340.5</v>
      </c>
      <c r="AE115" s="150">
        <f>Weather!P235</f>
        <v>0</v>
      </c>
      <c r="AF115" s="150">
        <f>Weather!Q235</f>
        <v>400.5</v>
      </c>
      <c r="AG115" s="151">
        <f t="shared" ref="AG115:AG121" si="132">AG67</f>
        <v>30</v>
      </c>
      <c r="AH115" s="151">
        <v>22</v>
      </c>
      <c r="AI115">
        <f t="shared" ref="AI115:AV115" si="133">AI103</f>
        <v>0</v>
      </c>
      <c r="AJ115">
        <f t="shared" si="133"/>
        <v>0</v>
      </c>
      <c r="AK115">
        <f t="shared" si="133"/>
        <v>0</v>
      </c>
      <c r="AL115">
        <f t="shared" si="133"/>
        <v>0</v>
      </c>
      <c r="AM115">
        <f t="shared" si="133"/>
        <v>0</v>
      </c>
      <c r="AN115">
        <f t="shared" si="133"/>
        <v>1</v>
      </c>
      <c r="AO115">
        <f t="shared" si="133"/>
        <v>0</v>
      </c>
      <c r="AP115">
        <f t="shared" si="133"/>
        <v>0</v>
      </c>
      <c r="AQ115">
        <f t="shared" si="133"/>
        <v>0</v>
      </c>
      <c r="AR115">
        <f t="shared" si="133"/>
        <v>0</v>
      </c>
      <c r="AS115">
        <f t="shared" si="133"/>
        <v>0</v>
      </c>
      <c r="AT115">
        <f t="shared" si="133"/>
        <v>0</v>
      </c>
      <c r="AU115">
        <f t="shared" si="133"/>
        <v>0</v>
      </c>
      <c r="AV115">
        <f t="shared" si="133"/>
        <v>0</v>
      </c>
      <c r="AW115">
        <f t="shared" si="76"/>
        <v>0</v>
      </c>
      <c r="AX115">
        <f t="shared" si="85"/>
        <v>114</v>
      </c>
      <c r="AY115" s="154">
        <v>1</v>
      </c>
      <c r="AZ115" s="154">
        <f>AY115/2</f>
        <v>0.5</v>
      </c>
      <c r="BA115" s="155">
        <f t="shared" si="78"/>
        <v>10.799999999999999</v>
      </c>
      <c r="BB115" s="155">
        <f t="shared" si="79"/>
        <v>111.3</v>
      </c>
      <c r="BC115" s="155">
        <f t="shared" si="80"/>
        <v>4.4000000000000004</v>
      </c>
      <c r="BD115" s="155">
        <f t="shared" si="81"/>
        <v>164.9</v>
      </c>
      <c r="BE115" s="236">
        <f t="shared" si="82"/>
        <v>27192.010000000002</v>
      </c>
      <c r="BF115">
        <f>X115*'Rate Class Customer Model'!O115</f>
        <v>1776879.9499999995</v>
      </c>
      <c r="BG115" s="123">
        <f t="shared" si="83"/>
        <v>2016025.8166732669</v>
      </c>
      <c r="BH115">
        <f t="shared" si="67"/>
        <v>1</v>
      </c>
    </row>
    <row r="116" spans="1:60" x14ac:dyDescent="0.2">
      <c r="A116" s="3">
        <v>44013</v>
      </c>
      <c r="B116">
        <f t="shared" si="70"/>
        <v>2020</v>
      </c>
      <c r="C116">
        <f t="shared" si="71"/>
        <v>7</v>
      </c>
      <c r="D116" s="46">
        <f>Purchases!D176</f>
        <v>28192460</v>
      </c>
      <c r="E116" s="46">
        <f>Purchases!E176</f>
        <v>5894883.4938199995</v>
      </c>
      <c r="F116" s="46">
        <f ca="1">CDM!D132</f>
        <v>908824.55119085894</v>
      </c>
      <c r="G116" s="46">
        <f t="shared" ca="1" si="72"/>
        <v>29101284.551190861</v>
      </c>
      <c r="H116" s="46">
        <f t="shared" si="73"/>
        <v>22297576.50618</v>
      </c>
      <c r="I116" s="46">
        <f t="shared" ca="1" si="74"/>
        <v>23206401.05737086</v>
      </c>
      <c r="J116" s="46">
        <f>'Rate Class Customer Model'!V116</f>
        <v>15237.583333333338</v>
      </c>
      <c r="K116" s="109">
        <f>IF(C116=12,VLOOKUP(B116,'Rate Class Customer Model'!$A$32:$J$44,10,FALSE),(VLOOKUP(B116+1,'Rate Class Customer Model'!$A$32:$J$44,10,FALSE)-VLOOKUP(B116,'Rate Class Customer Model'!$A$32:$J$44,10,FALSE))/12+K115)</f>
        <v>12234.539131506841</v>
      </c>
      <c r="L116" s="152">
        <f>Economic!C116</f>
        <v>710048.9</v>
      </c>
      <c r="M116" s="152">
        <f>Economic!E116</f>
        <v>163.54925437314444</v>
      </c>
      <c r="N116" s="152">
        <f>Economic!F116</f>
        <v>6700.8</v>
      </c>
      <c r="O116" s="152">
        <f>Economic!G116</f>
        <v>6777</v>
      </c>
      <c r="P116" s="152">
        <f>Economic!H116</f>
        <v>147.1</v>
      </c>
      <c r="Q116" s="152">
        <f>Economic!I116</f>
        <v>147.1</v>
      </c>
      <c r="R116" s="149">
        <f>Weather!C236</f>
        <v>24.635483870967743</v>
      </c>
      <c r="S116" s="150">
        <f>Weather!D236</f>
        <v>0</v>
      </c>
      <c r="T116" s="150">
        <f>Weather!E236</f>
        <v>143.69999999999999</v>
      </c>
      <c r="U116" s="150">
        <f>Weather!F236</f>
        <v>0</v>
      </c>
      <c r="V116" s="150">
        <f>Weather!G236</f>
        <v>205.7</v>
      </c>
      <c r="W116" s="150">
        <f>Weather!H236</f>
        <v>0</v>
      </c>
      <c r="X116" s="150">
        <f>Weather!I236</f>
        <v>267.70000000000005</v>
      </c>
      <c r="Y116" s="150">
        <f>Weather!J236</f>
        <v>0</v>
      </c>
      <c r="Z116" s="150">
        <f>Weather!K236</f>
        <v>329.7</v>
      </c>
      <c r="AA116" s="150">
        <f>Weather!L236</f>
        <v>0</v>
      </c>
      <c r="AB116" s="150">
        <f>Weather!M236</f>
        <v>391.69999999999993</v>
      </c>
      <c r="AC116" s="150">
        <f>Weather!N236</f>
        <v>0</v>
      </c>
      <c r="AD116" s="150">
        <f>Weather!O236</f>
        <v>453.7</v>
      </c>
      <c r="AE116" s="150">
        <f>Weather!P236</f>
        <v>0</v>
      </c>
      <c r="AF116" s="150">
        <f>Weather!Q236</f>
        <v>515.69999999999993</v>
      </c>
      <c r="AG116" s="151">
        <f t="shared" si="132"/>
        <v>31</v>
      </c>
      <c r="AH116" s="151">
        <v>22</v>
      </c>
      <c r="AI116">
        <f t="shared" ref="AI116:AV116" si="134">AI104</f>
        <v>0</v>
      </c>
      <c r="AJ116">
        <f t="shared" si="134"/>
        <v>0</v>
      </c>
      <c r="AK116">
        <f t="shared" si="134"/>
        <v>0</v>
      </c>
      <c r="AL116">
        <f t="shared" si="134"/>
        <v>0</v>
      </c>
      <c r="AM116">
        <f t="shared" si="134"/>
        <v>0</v>
      </c>
      <c r="AN116">
        <f t="shared" si="134"/>
        <v>0</v>
      </c>
      <c r="AO116">
        <f t="shared" si="134"/>
        <v>1</v>
      </c>
      <c r="AP116">
        <f t="shared" si="134"/>
        <v>0</v>
      </c>
      <c r="AQ116">
        <f t="shared" si="134"/>
        <v>0</v>
      </c>
      <c r="AR116">
        <f t="shared" si="134"/>
        <v>0</v>
      </c>
      <c r="AS116">
        <f t="shared" si="134"/>
        <v>0</v>
      </c>
      <c r="AT116">
        <f t="shared" si="134"/>
        <v>0</v>
      </c>
      <c r="AU116">
        <f t="shared" si="134"/>
        <v>0</v>
      </c>
      <c r="AV116">
        <f t="shared" si="134"/>
        <v>0</v>
      </c>
      <c r="AW116">
        <f t="shared" si="76"/>
        <v>0</v>
      </c>
      <c r="AX116">
        <f t="shared" si="85"/>
        <v>115</v>
      </c>
      <c r="AY116" s="154">
        <v>1</v>
      </c>
      <c r="AZ116" s="154">
        <f t="shared" ref="AZ116:AZ121" si="135">AY116/2</f>
        <v>0.5</v>
      </c>
      <c r="BA116" s="155">
        <f t="shared" si="78"/>
        <v>0</v>
      </c>
      <c r="BB116" s="155">
        <f t="shared" si="79"/>
        <v>205.7</v>
      </c>
      <c r="BC116" s="155">
        <f t="shared" si="80"/>
        <v>0</v>
      </c>
      <c r="BD116" s="155">
        <f t="shared" si="81"/>
        <v>267.70000000000005</v>
      </c>
      <c r="BE116" s="236">
        <f t="shared" si="82"/>
        <v>71663.290000000023</v>
      </c>
      <c r="BF116">
        <f>X116*'Rate Class Customer Model'!O116</f>
        <v>2888460.691666666</v>
      </c>
      <c r="BG116" s="123">
        <f t="shared" si="83"/>
        <v>3275186.125504382</v>
      </c>
      <c r="BH116">
        <f t="shared" si="67"/>
        <v>1</v>
      </c>
    </row>
    <row r="117" spans="1:60" x14ac:dyDescent="0.2">
      <c r="A117" s="3">
        <v>44044</v>
      </c>
      <c r="B117">
        <f t="shared" si="70"/>
        <v>2020</v>
      </c>
      <c r="C117">
        <f t="shared" si="71"/>
        <v>8</v>
      </c>
      <c r="D117" s="46">
        <f>Purchases!D177</f>
        <v>24252200</v>
      </c>
      <c r="E117" s="46">
        <f>Purchases!E177</f>
        <v>7735321.2992799999</v>
      </c>
      <c r="F117" s="46">
        <f ca="1">CDM!D133</f>
        <v>907311.65882775106</v>
      </c>
      <c r="G117" s="46">
        <f t="shared" ca="1" si="72"/>
        <v>25159511.658827752</v>
      </c>
      <c r="H117" s="46">
        <f t="shared" si="73"/>
        <v>16516878.700720001</v>
      </c>
      <c r="I117" s="46">
        <f t="shared" ca="1" si="74"/>
        <v>17424190.359547753</v>
      </c>
      <c r="J117" s="46">
        <f>'Rate Class Customer Model'!V117</f>
        <v>15259.666666666672</v>
      </c>
      <c r="K117" s="109">
        <f>IF(C117=12,VLOOKUP(B117,'Rate Class Customer Model'!$A$32:$J$44,10,FALSE),(VLOOKUP(B117+1,'Rate Class Customer Model'!$A$32:$J$44,10,FALSE)-VLOOKUP(B117,'Rate Class Customer Model'!$A$32:$J$44,10,FALSE))/12+K116)</f>
        <v>12243.330436007818</v>
      </c>
      <c r="L117" s="152">
        <f>Economic!C117</f>
        <v>710048.9</v>
      </c>
      <c r="M117" s="152">
        <f>Economic!E117</f>
        <v>162.84421110089175</v>
      </c>
      <c r="N117" s="152">
        <f>Economic!F117</f>
        <v>6924.2</v>
      </c>
      <c r="O117" s="152">
        <f>Economic!G117</f>
        <v>7003.5</v>
      </c>
      <c r="P117" s="152">
        <f>Economic!H117</f>
        <v>153.9</v>
      </c>
      <c r="Q117" s="152">
        <f>Economic!I117</f>
        <v>153</v>
      </c>
      <c r="R117" s="149">
        <f>Weather!C237</f>
        <v>22.019354838709681</v>
      </c>
      <c r="S117" s="150">
        <f>Weather!D237</f>
        <v>4.4000000000000021</v>
      </c>
      <c r="T117" s="150">
        <f>Weather!E237</f>
        <v>67</v>
      </c>
      <c r="U117" s="150">
        <f>Weather!F237</f>
        <v>0</v>
      </c>
      <c r="V117" s="150">
        <f>Weather!G237</f>
        <v>124.59999999999998</v>
      </c>
      <c r="W117" s="150">
        <f>Weather!H237</f>
        <v>0</v>
      </c>
      <c r="X117" s="150">
        <f>Weather!I237</f>
        <v>186.59999999999997</v>
      </c>
      <c r="Y117" s="150">
        <f>Weather!J237</f>
        <v>0</v>
      </c>
      <c r="Z117" s="150">
        <f>Weather!K237</f>
        <v>248.59999999999997</v>
      </c>
      <c r="AA117" s="150">
        <f>Weather!L237</f>
        <v>0</v>
      </c>
      <c r="AB117" s="150">
        <f>Weather!M237</f>
        <v>310.59999999999997</v>
      </c>
      <c r="AC117" s="150">
        <f>Weather!N237</f>
        <v>0</v>
      </c>
      <c r="AD117" s="150">
        <f>Weather!O237</f>
        <v>372.59999999999991</v>
      </c>
      <c r="AE117" s="150">
        <f>Weather!P237</f>
        <v>0</v>
      </c>
      <c r="AF117" s="150">
        <f>Weather!Q237</f>
        <v>434.59999999999997</v>
      </c>
      <c r="AG117" s="151">
        <f t="shared" si="132"/>
        <v>31</v>
      </c>
      <c r="AH117" s="151">
        <v>20</v>
      </c>
      <c r="AI117">
        <f t="shared" ref="AI117:AV117" si="136">AI105</f>
        <v>0</v>
      </c>
      <c r="AJ117">
        <f t="shared" si="136"/>
        <v>0</v>
      </c>
      <c r="AK117">
        <f t="shared" si="136"/>
        <v>0</v>
      </c>
      <c r="AL117">
        <f t="shared" si="136"/>
        <v>0</v>
      </c>
      <c r="AM117">
        <f t="shared" si="136"/>
        <v>0</v>
      </c>
      <c r="AN117">
        <f t="shared" si="136"/>
        <v>0</v>
      </c>
      <c r="AO117">
        <f t="shared" si="136"/>
        <v>0</v>
      </c>
      <c r="AP117">
        <f t="shared" si="136"/>
        <v>1</v>
      </c>
      <c r="AQ117">
        <f t="shared" si="136"/>
        <v>0</v>
      </c>
      <c r="AR117">
        <f t="shared" si="136"/>
        <v>0</v>
      </c>
      <c r="AS117">
        <f t="shared" si="136"/>
        <v>0</v>
      </c>
      <c r="AT117">
        <f t="shared" si="136"/>
        <v>0</v>
      </c>
      <c r="AU117">
        <f t="shared" si="136"/>
        <v>0</v>
      </c>
      <c r="AV117">
        <f t="shared" si="136"/>
        <v>0</v>
      </c>
      <c r="AW117">
        <f t="shared" si="76"/>
        <v>0</v>
      </c>
      <c r="AX117">
        <f t="shared" si="85"/>
        <v>116</v>
      </c>
      <c r="AY117" s="154">
        <v>1</v>
      </c>
      <c r="AZ117" s="154">
        <f t="shared" si="135"/>
        <v>0.5</v>
      </c>
      <c r="BA117" s="155">
        <f t="shared" si="78"/>
        <v>0</v>
      </c>
      <c r="BB117" s="155">
        <f t="shared" si="79"/>
        <v>124.59999999999998</v>
      </c>
      <c r="BC117" s="155">
        <f t="shared" si="80"/>
        <v>0</v>
      </c>
      <c r="BD117" s="155">
        <f t="shared" si="81"/>
        <v>186.59999999999997</v>
      </c>
      <c r="BE117" s="236">
        <f t="shared" si="82"/>
        <v>34819.55999999999</v>
      </c>
      <c r="BF117">
        <f>X117*'Rate Class Customer Model'!O117</f>
        <v>2016088.5999999987</v>
      </c>
      <c r="BG117" s="123">
        <f t="shared" si="83"/>
        <v>2284605.4593590586</v>
      </c>
      <c r="BH117">
        <f t="shared" si="67"/>
        <v>1</v>
      </c>
    </row>
    <row r="118" spans="1:60" x14ac:dyDescent="0.2">
      <c r="A118" s="3">
        <v>44075</v>
      </c>
      <c r="B118">
        <f t="shared" si="70"/>
        <v>2020</v>
      </c>
      <c r="C118">
        <f t="shared" si="71"/>
        <v>9</v>
      </c>
      <c r="D118" s="46">
        <f>Purchases!D178</f>
        <v>18691553.740000002</v>
      </c>
      <c r="E118" s="46">
        <f>Purchases!E178</f>
        <v>6564005.04648</v>
      </c>
      <c r="F118" s="46">
        <f ca="1">CDM!D134</f>
        <v>905798.7664646433</v>
      </c>
      <c r="G118" s="46">
        <f t="shared" ca="1" si="72"/>
        <v>19597352.506464645</v>
      </c>
      <c r="H118" s="46">
        <f t="shared" si="73"/>
        <v>12127548.693520002</v>
      </c>
      <c r="I118" s="46">
        <f t="shared" ca="1" si="74"/>
        <v>13033347.459984645</v>
      </c>
      <c r="J118" s="46">
        <f>'Rate Class Customer Model'!V118</f>
        <v>15281.750000000005</v>
      </c>
      <c r="K118" s="109">
        <f>IF(C118=12,VLOOKUP(B118,'Rate Class Customer Model'!$A$32:$J$44,10,FALSE),(VLOOKUP(B118+1,'Rate Class Customer Model'!$A$32:$J$44,10,FALSE)-VLOOKUP(B118,'Rate Class Customer Model'!$A$32:$J$44,10,FALSE))/12+K117)</f>
        <v>12252.121740508795</v>
      </c>
      <c r="L118" s="152">
        <f>Economic!C118</f>
        <v>710048.9</v>
      </c>
      <c r="M118" s="152">
        <f>Economic!E118</f>
        <v>162.13916782863907</v>
      </c>
      <c r="N118" s="152">
        <f>Economic!F118</f>
        <v>7077.6</v>
      </c>
      <c r="O118" s="152">
        <f>Economic!G118</f>
        <v>7126.6</v>
      </c>
      <c r="P118" s="152">
        <f>Economic!H118</f>
        <v>154.4</v>
      </c>
      <c r="Q118" s="152">
        <f>Economic!I118</f>
        <v>153.9</v>
      </c>
      <c r="R118" s="149">
        <f>Weather!C238</f>
        <v>16.883333333333333</v>
      </c>
      <c r="S118" s="150">
        <f>Weather!D238</f>
        <v>105.19999999999999</v>
      </c>
      <c r="T118" s="150">
        <f>Weather!E238</f>
        <v>11.7</v>
      </c>
      <c r="U118" s="150">
        <f>Weather!F238</f>
        <v>62</v>
      </c>
      <c r="V118" s="150">
        <f>Weather!G238</f>
        <v>28.5</v>
      </c>
      <c r="W118" s="150">
        <f>Weather!H238</f>
        <v>31.4</v>
      </c>
      <c r="X118" s="150">
        <f>Weather!I238</f>
        <v>57.9</v>
      </c>
      <c r="Y118" s="150">
        <f>Weather!J238</f>
        <v>12.100000000000001</v>
      </c>
      <c r="Z118" s="150">
        <f>Weather!K238</f>
        <v>98.6</v>
      </c>
      <c r="AA118" s="150">
        <f>Weather!L238</f>
        <v>2.9000000000000004</v>
      </c>
      <c r="AB118" s="150">
        <f>Weather!M238</f>
        <v>149.4</v>
      </c>
      <c r="AC118" s="150">
        <f>Weather!N238</f>
        <v>0</v>
      </c>
      <c r="AD118" s="150">
        <f>Weather!O238</f>
        <v>206.5</v>
      </c>
      <c r="AE118" s="150">
        <f>Weather!P238</f>
        <v>0</v>
      </c>
      <c r="AF118" s="150">
        <f>Weather!Q238</f>
        <v>266.5</v>
      </c>
      <c r="AG118" s="151">
        <f t="shared" si="132"/>
        <v>30</v>
      </c>
      <c r="AH118" s="151">
        <v>21</v>
      </c>
      <c r="AI118">
        <f t="shared" ref="AI118:AV118" si="137">AI106</f>
        <v>0</v>
      </c>
      <c r="AJ118">
        <f t="shared" si="137"/>
        <v>0</v>
      </c>
      <c r="AK118">
        <f t="shared" si="137"/>
        <v>0</v>
      </c>
      <c r="AL118">
        <f t="shared" si="137"/>
        <v>0</v>
      </c>
      <c r="AM118">
        <f t="shared" si="137"/>
        <v>0</v>
      </c>
      <c r="AN118">
        <f t="shared" si="137"/>
        <v>0</v>
      </c>
      <c r="AO118">
        <f t="shared" si="137"/>
        <v>0</v>
      </c>
      <c r="AP118">
        <f t="shared" si="137"/>
        <v>0</v>
      </c>
      <c r="AQ118">
        <f t="shared" si="137"/>
        <v>1</v>
      </c>
      <c r="AR118">
        <f t="shared" si="137"/>
        <v>0</v>
      </c>
      <c r="AS118">
        <f t="shared" si="137"/>
        <v>0</v>
      </c>
      <c r="AT118">
        <f t="shared" si="137"/>
        <v>0</v>
      </c>
      <c r="AU118">
        <f t="shared" si="137"/>
        <v>0</v>
      </c>
      <c r="AV118">
        <f t="shared" si="137"/>
        <v>1</v>
      </c>
      <c r="AW118">
        <f t="shared" si="76"/>
        <v>1</v>
      </c>
      <c r="AX118">
        <f t="shared" si="85"/>
        <v>117</v>
      </c>
      <c r="AY118" s="154">
        <v>1</v>
      </c>
      <c r="AZ118" s="154">
        <f t="shared" si="135"/>
        <v>0.5</v>
      </c>
      <c r="BA118" s="155">
        <f t="shared" si="78"/>
        <v>62</v>
      </c>
      <c r="BB118" s="155">
        <f t="shared" si="79"/>
        <v>28.5</v>
      </c>
      <c r="BC118" s="155">
        <f t="shared" si="80"/>
        <v>31.4</v>
      </c>
      <c r="BD118" s="155">
        <f t="shared" si="81"/>
        <v>57.9</v>
      </c>
      <c r="BE118" s="236">
        <f t="shared" si="82"/>
        <v>3352.41</v>
      </c>
      <c r="BF118">
        <f>X118*'Rate Class Customer Model'!O118</f>
        <v>626405.62499999965</v>
      </c>
      <c r="BG118" s="123">
        <f t="shared" si="83"/>
        <v>709397.84877545922</v>
      </c>
      <c r="BH118">
        <f t="shared" si="67"/>
        <v>1</v>
      </c>
    </row>
    <row r="119" spans="1:60" x14ac:dyDescent="0.2">
      <c r="A119" s="3">
        <v>44105</v>
      </c>
      <c r="B119">
        <f t="shared" si="70"/>
        <v>2020</v>
      </c>
      <c r="C119">
        <f t="shared" si="71"/>
        <v>10</v>
      </c>
      <c r="D119" s="46">
        <f>Purchases!D179</f>
        <v>17010864.789999999</v>
      </c>
      <c r="E119" s="46">
        <f>Purchases!E179</f>
        <v>4055885.1912000002</v>
      </c>
      <c r="F119" s="46">
        <f ca="1">CDM!D135</f>
        <v>904285.87410153553</v>
      </c>
      <c r="G119" s="46">
        <f t="shared" ca="1" si="72"/>
        <v>17915150.664101534</v>
      </c>
      <c r="H119" s="46">
        <f t="shared" si="73"/>
        <v>12954979.5988</v>
      </c>
      <c r="I119" s="46">
        <f t="shared" ca="1" si="74"/>
        <v>13859265.472901534</v>
      </c>
      <c r="J119" s="46">
        <f>'Rate Class Customer Model'!V119</f>
        <v>15303.833333333339</v>
      </c>
      <c r="K119" s="109">
        <f>IF(C119=12,VLOOKUP(B119,'Rate Class Customer Model'!$A$32:$J$44,10,FALSE),(VLOOKUP(B119+1,'Rate Class Customer Model'!$A$32:$J$44,10,FALSE)-VLOOKUP(B119,'Rate Class Customer Model'!$A$32:$J$44,10,FALSE))/12+K118)</f>
        <v>12260.913045009773</v>
      </c>
      <c r="L119" s="152">
        <f>Economic!C119</f>
        <v>710048.9</v>
      </c>
      <c r="M119" s="152">
        <f>Economic!E119</f>
        <v>161.43412455638639</v>
      </c>
      <c r="N119" s="152">
        <f>Economic!F119</f>
        <v>7190.9</v>
      </c>
      <c r="O119" s="152">
        <f>Economic!G119</f>
        <v>7223.8</v>
      </c>
      <c r="P119" s="152">
        <f>Economic!H119</f>
        <v>153.6</v>
      </c>
      <c r="Q119" s="152">
        <f>Economic!I119</f>
        <v>153.80000000000001</v>
      </c>
      <c r="R119" s="149">
        <f>Weather!C239</f>
        <v>10.293548387096777</v>
      </c>
      <c r="S119" s="150">
        <f>Weather!D239</f>
        <v>300.89999999999998</v>
      </c>
      <c r="T119" s="150">
        <f>Weather!E239</f>
        <v>0</v>
      </c>
      <c r="U119" s="150">
        <f>Weather!F239</f>
        <v>239.7</v>
      </c>
      <c r="V119" s="150">
        <f>Weather!G239</f>
        <v>0.80000000000000071</v>
      </c>
      <c r="W119" s="150">
        <f>Weather!H239</f>
        <v>181.8</v>
      </c>
      <c r="X119" s="150">
        <f>Weather!I239</f>
        <v>4.9000000000000021</v>
      </c>
      <c r="Y119" s="150">
        <f>Weather!J239</f>
        <v>129.4</v>
      </c>
      <c r="Z119" s="150">
        <f>Weather!K239</f>
        <v>14.500000000000002</v>
      </c>
      <c r="AA119" s="150">
        <f>Weather!L239</f>
        <v>83.899999999999991</v>
      </c>
      <c r="AB119" s="150">
        <f>Weather!M239</f>
        <v>31.000000000000004</v>
      </c>
      <c r="AC119" s="150">
        <f>Weather!N239</f>
        <v>48.6</v>
      </c>
      <c r="AD119" s="150">
        <f>Weather!O239</f>
        <v>57.7</v>
      </c>
      <c r="AE119" s="150">
        <f>Weather!P239</f>
        <v>22.499999999999996</v>
      </c>
      <c r="AF119" s="150">
        <f>Weather!Q239</f>
        <v>93.59999999999998</v>
      </c>
      <c r="AG119" s="151">
        <f t="shared" si="132"/>
        <v>31</v>
      </c>
      <c r="AH119" s="151">
        <v>21</v>
      </c>
      <c r="AI119">
        <f t="shared" ref="AI119:AV119" si="138">AI107</f>
        <v>0</v>
      </c>
      <c r="AJ119">
        <f t="shared" si="138"/>
        <v>0</v>
      </c>
      <c r="AK119">
        <f t="shared" si="138"/>
        <v>0</v>
      </c>
      <c r="AL119">
        <f t="shared" si="138"/>
        <v>0</v>
      </c>
      <c r="AM119">
        <f t="shared" si="138"/>
        <v>0</v>
      </c>
      <c r="AN119">
        <f t="shared" si="138"/>
        <v>0</v>
      </c>
      <c r="AO119">
        <f t="shared" si="138"/>
        <v>0</v>
      </c>
      <c r="AP119">
        <f t="shared" si="138"/>
        <v>0</v>
      </c>
      <c r="AQ119">
        <f t="shared" si="138"/>
        <v>0</v>
      </c>
      <c r="AR119">
        <f t="shared" si="138"/>
        <v>1</v>
      </c>
      <c r="AS119">
        <f t="shared" si="138"/>
        <v>0</v>
      </c>
      <c r="AT119">
        <f t="shared" si="138"/>
        <v>0</v>
      </c>
      <c r="AU119">
        <f t="shared" si="138"/>
        <v>0</v>
      </c>
      <c r="AV119">
        <f t="shared" si="138"/>
        <v>1</v>
      </c>
      <c r="AW119">
        <f t="shared" si="76"/>
        <v>1</v>
      </c>
      <c r="AX119">
        <f t="shared" si="85"/>
        <v>118</v>
      </c>
      <c r="AY119" s="154">
        <v>1</v>
      </c>
      <c r="AZ119" s="154">
        <f t="shared" si="135"/>
        <v>0.5</v>
      </c>
      <c r="BA119" s="155">
        <f t="shared" si="78"/>
        <v>239.7</v>
      </c>
      <c r="BB119" s="155">
        <f t="shared" si="79"/>
        <v>0.80000000000000071</v>
      </c>
      <c r="BC119" s="155">
        <f t="shared" si="80"/>
        <v>181.8</v>
      </c>
      <c r="BD119" s="155">
        <f t="shared" si="81"/>
        <v>4.9000000000000021</v>
      </c>
      <c r="BE119" s="236">
        <f t="shared" si="82"/>
        <v>24.010000000000019</v>
      </c>
      <c r="BF119">
        <f>X119*'Rate Class Customer Model'!O119</f>
        <v>53082.516666666663</v>
      </c>
      <c r="BG119" s="123">
        <f t="shared" si="83"/>
        <v>60078.473920547913</v>
      </c>
      <c r="BH119">
        <f t="shared" si="67"/>
        <v>1</v>
      </c>
    </row>
    <row r="120" spans="1:60" x14ac:dyDescent="0.2">
      <c r="A120" s="3">
        <v>44136</v>
      </c>
      <c r="B120">
        <f t="shared" si="70"/>
        <v>2020</v>
      </c>
      <c r="C120">
        <f t="shared" si="71"/>
        <v>11</v>
      </c>
      <c r="D120" s="46">
        <f>Purchases!D180</f>
        <v>18253434</v>
      </c>
      <c r="E120" s="46">
        <f>Purchases!E180</f>
        <v>3115295.0272399997</v>
      </c>
      <c r="F120" s="46">
        <f ca="1">CDM!D136</f>
        <v>902772.98173842777</v>
      </c>
      <c r="G120" s="46">
        <f t="shared" ca="1" si="72"/>
        <v>19156206.98173843</v>
      </c>
      <c r="H120" s="46">
        <f t="shared" si="73"/>
        <v>15138138.972759999</v>
      </c>
      <c r="I120" s="46">
        <f t="shared" ca="1" si="74"/>
        <v>16040911.954498429</v>
      </c>
      <c r="J120" s="46">
        <f>'Rate Class Customer Model'!V120</f>
        <v>15325.916666666673</v>
      </c>
      <c r="K120" s="109">
        <f>IF(C120=12,VLOOKUP(B120,'Rate Class Customer Model'!$A$32:$J$44,10,FALSE),(VLOOKUP(B120+1,'Rate Class Customer Model'!$A$32:$J$44,10,FALSE)-VLOOKUP(B120,'Rate Class Customer Model'!$A$32:$J$44,10,FALSE))/12+K119)</f>
        <v>12269.70434951075</v>
      </c>
      <c r="L120" s="152">
        <f>Economic!C120</f>
        <v>710048.9</v>
      </c>
      <c r="M120" s="152">
        <f>Economic!E120</f>
        <v>160.72908128413371</v>
      </c>
      <c r="N120" s="152">
        <f>Economic!F120</f>
        <v>7269.2</v>
      </c>
      <c r="O120" s="152">
        <f>Economic!G120</f>
        <v>7284.9</v>
      </c>
      <c r="P120" s="152">
        <f>Economic!H120</f>
        <v>153.4</v>
      </c>
      <c r="Q120" s="152">
        <f>Economic!I120</f>
        <v>153.80000000000001</v>
      </c>
      <c r="R120" s="149">
        <f>Weather!C240</f>
        <v>7.0633333333333352</v>
      </c>
      <c r="S120" s="150">
        <f>Weather!D240</f>
        <v>388.1</v>
      </c>
      <c r="T120" s="150">
        <f>Weather!E240</f>
        <v>0</v>
      </c>
      <c r="U120" s="150">
        <f>Weather!F240</f>
        <v>329.50000000000006</v>
      </c>
      <c r="V120" s="150">
        <f>Weather!G240</f>
        <v>1.3999999999999986</v>
      </c>
      <c r="W120" s="150">
        <f>Weather!H240</f>
        <v>271.49999999999994</v>
      </c>
      <c r="X120" s="150">
        <f>Weather!I240</f>
        <v>3.3999999999999986</v>
      </c>
      <c r="Y120" s="150">
        <f>Weather!J240</f>
        <v>214.49999999999997</v>
      </c>
      <c r="Z120" s="150">
        <f>Weather!K240</f>
        <v>6.3999999999999986</v>
      </c>
      <c r="AA120" s="150">
        <f>Weather!L240</f>
        <v>166.29999999999998</v>
      </c>
      <c r="AB120" s="150">
        <f>Weather!M240</f>
        <v>18.199999999999996</v>
      </c>
      <c r="AC120" s="150">
        <f>Weather!N240</f>
        <v>123.09999999999998</v>
      </c>
      <c r="AD120" s="150">
        <f>Weather!O240</f>
        <v>34.999999999999993</v>
      </c>
      <c r="AE120" s="150">
        <f>Weather!P240</f>
        <v>83.899999999999991</v>
      </c>
      <c r="AF120" s="150">
        <f>Weather!Q240</f>
        <v>55.8</v>
      </c>
      <c r="AG120" s="151">
        <f t="shared" si="132"/>
        <v>30</v>
      </c>
      <c r="AH120" s="151">
        <v>21</v>
      </c>
      <c r="AI120">
        <f t="shared" ref="AI120:AV120" si="139">AI108</f>
        <v>0</v>
      </c>
      <c r="AJ120">
        <f t="shared" si="139"/>
        <v>0</v>
      </c>
      <c r="AK120">
        <f t="shared" si="139"/>
        <v>0</v>
      </c>
      <c r="AL120">
        <f t="shared" si="139"/>
        <v>0</v>
      </c>
      <c r="AM120">
        <f t="shared" si="139"/>
        <v>0</v>
      </c>
      <c r="AN120">
        <f t="shared" si="139"/>
        <v>0</v>
      </c>
      <c r="AO120">
        <f t="shared" si="139"/>
        <v>0</v>
      </c>
      <c r="AP120">
        <f t="shared" si="139"/>
        <v>0</v>
      </c>
      <c r="AQ120">
        <f t="shared" si="139"/>
        <v>0</v>
      </c>
      <c r="AR120">
        <f t="shared" si="139"/>
        <v>0</v>
      </c>
      <c r="AS120">
        <f t="shared" si="139"/>
        <v>1</v>
      </c>
      <c r="AT120">
        <f t="shared" si="139"/>
        <v>0</v>
      </c>
      <c r="AU120">
        <f t="shared" si="139"/>
        <v>0</v>
      </c>
      <c r="AV120">
        <f t="shared" si="139"/>
        <v>1</v>
      </c>
      <c r="AW120">
        <f t="shared" si="76"/>
        <v>1</v>
      </c>
      <c r="AX120">
        <f t="shared" si="85"/>
        <v>119</v>
      </c>
      <c r="AY120" s="154">
        <v>1</v>
      </c>
      <c r="AZ120" s="154">
        <f t="shared" si="135"/>
        <v>0.5</v>
      </c>
      <c r="BA120" s="155">
        <f t="shared" si="78"/>
        <v>329.50000000000006</v>
      </c>
      <c r="BB120" s="155">
        <f t="shared" si="79"/>
        <v>1.3999999999999986</v>
      </c>
      <c r="BC120" s="155">
        <f t="shared" si="80"/>
        <v>271.49999999999994</v>
      </c>
      <c r="BD120" s="155">
        <f t="shared" si="81"/>
        <v>3.3999999999999986</v>
      </c>
      <c r="BE120" s="236">
        <f t="shared" si="82"/>
        <v>11.55999999999999</v>
      </c>
      <c r="BF120">
        <f>X120*'Rate Class Customer Model'!O120</f>
        <v>36881.783333333296</v>
      </c>
      <c r="BG120" s="123">
        <f t="shared" si="83"/>
        <v>41716.994788336531</v>
      </c>
      <c r="BH120">
        <f t="shared" si="67"/>
        <v>1</v>
      </c>
    </row>
    <row r="121" spans="1:60" x14ac:dyDescent="0.2">
      <c r="A121" s="3">
        <v>44166</v>
      </c>
      <c r="B121">
        <f t="shared" si="70"/>
        <v>2020</v>
      </c>
      <c r="C121">
        <f t="shared" si="71"/>
        <v>12</v>
      </c>
      <c r="D121" s="46">
        <f>Purchases!D181</f>
        <v>20812463</v>
      </c>
      <c r="E121" s="46">
        <f>Purchases!E181</f>
        <v>3241021.68352</v>
      </c>
      <c r="F121" s="46">
        <f ca="1">CDM!D137</f>
        <v>901260.08937532001</v>
      </c>
      <c r="G121" s="46">
        <f t="shared" ca="1" si="72"/>
        <v>21713723.089375321</v>
      </c>
      <c r="H121" s="46">
        <f t="shared" si="73"/>
        <v>17571441.31648</v>
      </c>
      <c r="I121" s="46">
        <f t="shared" ca="1" si="74"/>
        <v>18472701.40585532</v>
      </c>
      <c r="J121" s="46">
        <f>'Rate Class Customer Model'!V121</f>
        <v>15348</v>
      </c>
      <c r="K121" s="109">
        <f>IF(C121=12,VLOOKUP(B121,'Rate Class Customer Model'!$A$32:$J$44,10,FALSE),(VLOOKUP(B121+1,'Rate Class Customer Model'!$A$32:$J$44,10,FALSE)-VLOOKUP(B121,'Rate Class Customer Model'!$A$32:$J$44,10,FALSE))/12+K120)</f>
        <v>12364</v>
      </c>
      <c r="L121" s="152">
        <f>Economic!C121</f>
        <v>710048.9</v>
      </c>
      <c r="M121" s="152">
        <f>Economic!E121</f>
        <v>160.02403801188103</v>
      </c>
      <c r="N121" s="152">
        <f>Economic!F121</f>
        <v>7287.6</v>
      </c>
      <c r="O121" s="152">
        <f>Economic!G121</f>
        <v>7299.1</v>
      </c>
      <c r="P121" s="152">
        <f>Economic!H121</f>
        <v>149.69999999999999</v>
      </c>
      <c r="Q121" s="152">
        <f>Economic!I121</f>
        <v>150.30000000000001</v>
      </c>
      <c r="R121" s="149">
        <f>Weather!C241</f>
        <v>0.34193548387096778</v>
      </c>
      <c r="S121" s="150">
        <f>Weather!D241</f>
        <v>609.4</v>
      </c>
      <c r="T121" s="150">
        <f>Weather!E241</f>
        <v>0</v>
      </c>
      <c r="U121" s="150">
        <f>Weather!F241</f>
        <v>547.4</v>
      </c>
      <c r="V121" s="150">
        <f>Weather!G241</f>
        <v>0</v>
      </c>
      <c r="W121" s="150">
        <f>Weather!H241</f>
        <v>485.40000000000003</v>
      </c>
      <c r="X121" s="150">
        <f>Weather!I241</f>
        <v>0</v>
      </c>
      <c r="Y121" s="150">
        <f>Weather!J241</f>
        <v>423.40000000000003</v>
      </c>
      <c r="Z121" s="150">
        <f>Weather!K241</f>
        <v>0</v>
      </c>
      <c r="AA121" s="150">
        <f>Weather!L241</f>
        <v>361.4</v>
      </c>
      <c r="AB121" s="150">
        <f>Weather!M241</f>
        <v>0</v>
      </c>
      <c r="AC121" s="150">
        <f>Weather!N241</f>
        <v>299.40000000000009</v>
      </c>
      <c r="AD121" s="150">
        <f>Weather!O241</f>
        <v>0</v>
      </c>
      <c r="AE121" s="150">
        <f>Weather!P241</f>
        <v>237.40000000000006</v>
      </c>
      <c r="AF121" s="150">
        <f>Weather!Q241</f>
        <v>0</v>
      </c>
      <c r="AG121" s="151">
        <f t="shared" si="132"/>
        <v>31</v>
      </c>
      <c r="AH121" s="151">
        <v>21</v>
      </c>
      <c r="AI121">
        <f t="shared" ref="AI121:AV121" si="140">AI109</f>
        <v>0</v>
      </c>
      <c r="AJ121">
        <f t="shared" si="140"/>
        <v>0</v>
      </c>
      <c r="AK121">
        <f t="shared" si="140"/>
        <v>0</v>
      </c>
      <c r="AL121">
        <f t="shared" si="140"/>
        <v>0</v>
      </c>
      <c r="AM121">
        <f t="shared" si="140"/>
        <v>0</v>
      </c>
      <c r="AN121">
        <f t="shared" si="140"/>
        <v>0</v>
      </c>
      <c r="AO121">
        <f t="shared" si="140"/>
        <v>0</v>
      </c>
      <c r="AP121">
        <f t="shared" si="140"/>
        <v>0</v>
      </c>
      <c r="AQ121">
        <f t="shared" si="140"/>
        <v>0</v>
      </c>
      <c r="AR121">
        <f t="shared" si="140"/>
        <v>0</v>
      </c>
      <c r="AS121">
        <f t="shared" si="140"/>
        <v>0</v>
      </c>
      <c r="AT121">
        <f t="shared" si="140"/>
        <v>1</v>
      </c>
      <c r="AU121">
        <f t="shared" si="140"/>
        <v>0</v>
      </c>
      <c r="AV121">
        <f t="shared" si="140"/>
        <v>0</v>
      </c>
      <c r="AW121">
        <f t="shared" si="76"/>
        <v>0</v>
      </c>
      <c r="AX121">
        <f t="shared" si="85"/>
        <v>120</v>
      </c>
      <c r="AY121" s="154">
        <v>1</v>
      </c>
      <c r="AZ121" s="154">
        <f t="shared" si="135"/>
        <v>0.5</v>
      </c>
      <c r="BA121" s="155">
        <f t="shared" si="78"/>
        <v>547.4</v>
      </c>
      <c r="BB121" s="155">
        <f t="shared" si="79"/>
        <v>0</v>
      </c>
      <c r="BC121" s="155">
        <f t="shared" si="80"/>
        <v>485.40000000000003</v>
      </c>
      <c r="BD121" s="155">
        <f t="shared" si="81"/>
        <v>0</v>
      </c>
      <c r="BE121" s="236">
        <f t="shared" si="82"/>
        <v>0</v>
      </c>
      <c r="BF121">
        <f>X121*'Rate Class Customer Model'!O121</f>
        <v>0</v>
      </c>
      <c r="BG121" s="123">
        <f t="shared" si="83"/>
        <v>0</v>
      </c>
      <c r="BH121">
        <f t="shared" si="67"/>
        <v>1</v>
      </c>
    </row>
    <row r="122" spans="1:60" x14ac:dyDescent="0.2">
      <c r="A122" s="3"/>
    </row>
    <row r="123" spans="1:60" x14ac:dyDescent="0.2">
      <c r="A123" s="3"/>
    </row>
    <row r="124" spans="1:60" x14ac:dyDescent="0.2">
      <c r="A124" s="3"/>
    </row>
    <row r="125" spans="1:60" x14ac:dyDescent="0.2">
      <c r="A125" s="3"/>
    </row>
    <row r="126" spans="1:60" x14ac:dyDescent="0.2">
      <c r="A126" s="3"/>
    </row>
    <row r="127" spans="1:60" x14ac:dyDescent="0.2">
      <c r="A127" s="3"/>
    </row>
    <row r="128" spans="1:60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tabColor rgb="FF00B050"/>
    <pageSetUpPr fitToPage="1"/>
  </sheetPr>
  <dimension ref="A2:P58"/>
  <sheetViews>
    <sheetView workbookViewId="0">
      <pane xSplit="1" ySplit="2" topLeftCell="B3" activePane="bottomRight" state="frozen"/>
      <selection activeCell="Y368" sqref="Y368"/>
      <selection pane="topRight" activeCell="Y368" sqref="Y368"/>
      <selection pane="bottomLeft" activeCell="Y368" sqref="Y368"/>
      <selection pane="bottomRight" activeCell="O30" sqref="O30"/>
    </sheetView>
  </sheetViews>
  <sheetFormatPr defaultRowHeight="12.75" x14ac:dyDescent="0.2"/>
  <cols>
    <col min="1" max="1" width="11" customWidth="1"/>
    <col min="2" max="2" width="23.7109375" style="1" bestFit="1" customWidth="1"/>
    <col min="3" max="3" width="17.7109375" style="1" bestFit="1" customWidth="1"/>
    <col min="4" max="4" width="10.28515625" style="1" bestFit="1" customWidth="1"/>
    <col min="5" max="5" width="11.42578125" style="1" bestFit="1" customWidth="1"/>
    <col min="6" max="6" width="15.7109375" style="1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1.140625" style="6" bestFit="1" customWidth="1"/>
    <col min="16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14" ht="42" customHeight="1" x14ac:dyDescent="0.2">
      <c r="B2" s="2" t="s">
        <v>4</v>
      </c>
      <c r="C2" s="2" t="s">
        <v>5</v>
      </c>
      <c r="D2" s="2" t="s">
        <v>18</v>
      </c>
      <c r="E2" s="2" t="s">
        <v>6</v>
      </c>
      <c r="F2" s="2" t="s">
        <v>1</v>
      </c>
      <c r="G2" s="102" t="s">
        <v>2</v>
      </c>
      <c r="H2" s="83" t="s">
        <v>72</v>
      </c>
      <c r="I2" s="84" t="s">
        <v>73</v>
      </c>
      <c r="J2" s="84" t="s">
        <v>74</v>
      </c>
      <c r="K2" s="84" t="s">
        <v>81</v>
      </c>
      <c r="L2" s="84" t="s">
        <v>82</v>
      </c>
      <c r="M2" s="84" t="s">
        <v>83</v>
      </c>
      <c r="N2" s="94" t="s">
        <v>77</v>
      </c>
    </row>
    <row r="4" spans="1:14" x14ac:dyDescent="0.2">
      <c r="A4" s="16"/>
      <c r="B4" s="119" t="s">
        <v>87</v>
      </c>
    </row>
    <row r="5" spans="1:14" x14ac:dyDescent="0.2">
      <c r="A5">
        <v>2011</v>
      </c>
      <c r="B5" s="6">
        <f>'Purchased Power Model'!D150</f>
        <v>255035715.38461539</v>
      </c>
      <c r="C5" s="6">
        <f ca="1">'Purchased Power Model'!Q150</f>
        <v>252125150.38144356</v>
      </c>
      <c r="D5" s="26">
        <f t="shared" ref="D5:D14" ca="1" si="0">C5-B5</f>
        <v>-2910565.0031718314</v>
      </c>
      <c r="E5" s="5">
        <f t="shared" ref="E5:E14" ca="1" si="1">D5/B5</f>
        <v>-1.1412381982588022E-2</v>
      </c>
      <c r="F5" s="37">
        <f t="shared" ref="F5:F14" si="2">1 +(B5-G5)/G5</f>
        <v>1.0534188007075169</v>
      </c>
      <c r="G5" s="105">
        <f t="shared" ref="G5:G14" si="3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</row>
    <row r="6" spans="1:14" x14ac:dyDescent="0.2">
      <c r="A6">
        <v>2012</v>
      </c>
      <c r="B6" s="6">
        <f>'Purchased Power Model'!D151</f>
        <v>246901827.27272725</v>
      </c>
      <c r="C6" s="6">
        <f ca="1">'Purchased Power Model'!Q151</f>
        <v>249341852.70784354</v>
      </c>
      <c r="D6" s="26">
        <f t="shared" ca="1" si="0"/>
        <v>2440025.435116291</v>
      </c>
      <c r="E6" s="5">
        <f t="shared" ca="1" si="1"/>
        <v>9.8825734182236089E-3</v>
      </c>
      <c r="F6" s="37">
        <f t="shared" si="2"/>
        <v>1.057307431647464</v>
      </c>
      <c r="G6" s="105">
        <f t="shared" si="3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</row>
    <row r="7" spans="1:14" x14ac:dyDescent="0.2">
      <c r="A7">
        <v>2013</v>
      </c>
      <c r="B7" s="6">
        <f>'Purchased Power Model'!D152</f>
        <v>247681431.06060606</v>
      </c>
      <c r="C7" s="6">
        <f ca="1">'Purchased Power Model'!Q152</f>
        <v>248329418.26844943</v>
      </c>
      <c r="D7" s="26">
        <f t="shared" ca="1" si="0"/>
        <v>647987.20784336329</v>
      </c>
      <c r="E7" s="5">
        <f t="shared" ca="1" si="1"/>
        <v>2.6162123057372234E-3</v>
      </c>
      <c r="F7" s="37">
        <f t="shared" si="2"/>
        <v>1.0773176441215928</v>
      </c>
      <c r="G7" s="105">
        <f t="shared" si="3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</row>
    <row r="8" spans="1:14" x14ac:dyDescent="0.2">
      <c r="A8">
        <v>2014</v>
      </c>
      <c r="B8" s="6">
        <f>'Purchased Power Model'!D153</f>
        <v>249772655.12820518</v>
      </c>
      <c r="C8" s="6">
        <f ca="1">'Purchased Power Model'!Q153</f>
        <v>246548660.79881102</v>
      </c>
      <c r="D8" s="26">
        <f t="shared" ca="1" si="0"/>
        <v>-3223994.3293941617</v>
      </c>
      <c r="E8" s="5">
        <f t="shared" ca="1" si="1"/>
        <v>-1.2907715329123302E-2</v>
      </c>
      <c r="F8" s="37">
        <f t="shared" si="2"/>
        <v>1.0443062038731428</v>
      </c>
      <c r="G8" s="105">
        <f t="shared" si="3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</row>
    <row r="9" spans="1:14" x14ac:dyDescent="0.2">
      <c r="A9">
        <v>2015</v>
      </c>
      <c r="B9" s="6">
        <f>'Purchased Power Model'!D154</f>
        <v>247718853.84615383</v>
      </c>
      <c r="C9" s="6">
        <f ca="1">'Purchased Power Model'!Q154</f>
        <v>245687749.55744377</v>
      </c>
      <c r="D9" s="26">
        <f t="shared" ca="1" si="0"/>
        <v>-2031104.2887100577</v>
      </c>
      <c r="E9" s="5">
        <f t="shared" ca="1" si="1"/>
        <v>-8.1992317386204213E-3</v>
      </c>
      <c r="F9" s="37">
        <f t="shared" si="2"/>
        <v>1.0040885633530559</v>
      </c>
      <c r="G9" s="105">
        <f>SUM(H9:N9)</f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</row>
    <row r="10" spans="1:14" x14ac:dyDescent="0.2">
      <c r="A10">
        <v>2016</v>
      </c>
      <c r="B10" s="6">
        <f>'Purchased Power Model'!D155</f>
        <v>244970130.78000003</v>
      </c>
      <c r="C10" s="6">
        <f ca="1">'Purchased Power Model'!Q155</f>
        <v>249823241.98640552</v>
      </c>
      <c r="D10" s="26">
        <f t="shared" ca="1" si="0"/>
        <v>4853111.2064054906</v>
      </c>
      <c r="E10" s="5">
        <f t="shared" ca="1" si="1"/>
        <v>1.9811032434660033E-2</v>
      </c>
      <c r="F10" s="37">
        <f t="shared" si="2"/>
        <v>1.0273730644944876</v>
      </c>
      <c r="G10" s="105">
        <f t="shared" si="3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</row>
    <row r="11" spans="1:14" x14ac:dyDescent="0.2">
      <c r="A11">
        <v>2017</v>
      </c>
      <c r="B11" s="6">
        <f>'Purchased Power Model'!D156</f>
        <v>236059300</v>
      </c>
      <c r="C11" s="6">
        <f ca="1">'Purchased Power Model'!Q156</f>
        <v>240379578.94039673</v>
      </c>
      <c r="D11" s="26">
        <f t="shared" ca="1" si="0"/>
        <v>4320278.9403967261</v>
      </c>
      <c r="E11" s="5">
        <f t="shared" ca="1" si="1"/>
        <v>1.8301668014760384E-2</v>
      </c>
      <c r="F11" s="37">
        <f t="shared" si="2"/>
        <v>1.0738711982800868</v>
      </c>
      <c r="G11" s="105">
        <f t="shared" si="3"/>
        <v>219820869</v>
      </c>
      <c r="H11" s="20">
        <v>86529650</v>
      </c>
      <c r="I11" s="20">
        <v>27228067</v>
      </c>
      <c r="J11" s="20">
        <v>47449869.999999993</v>
      </c>
      <c r="K11" s="20">
        <v>1361607</v>
      </c>
      <c r="L11" s="20">
        <v>255469</v>
      </c>
      <c r="M11" s="20">
        <v>152795</v>
      </c>
      <c r="N11" s="20">
        <v>56843411</v>
      </c>
    </row>
    <row r="12" spans="1:14" x14ac:dyDescent="0.2">
      <c r="A12">
        <v>2018</v>
      </c>
      <c r="B12" s="6">
        <f>'Purchased Power Model'!D157</f>
        <v>252552933.32999998</v>
      </c>
      <c r="C12" s="6">
        <f ca="1">'Purchased Power Model'!Q157</f>
        <v>252751825.35728046</v>
      </c>
      <c r="D12" s="26">
        <f t="shared" ca="1" si="0"/>
        <v>198892.02728047967</v>
      </c>
      <c r="E12" s="5">
        <f t="shared" ca="1" si="1"/>
        <v>7.8752610257983447E-4</v>
      </c>
      <c r="F12" s="37">
        <f t="shared" si="2"/>
        <v>1.0248606819637165</v>
      </c>
      <c r="G12" s="105">
        <f t="shared" si="3"/>
        <v>246426600</v>
      </c>
      <c r="H12" s="20">
        <v>94517190</v>
      </c>
      <c r="I12" s="20">
        <v>28692745</v>
      </c>
      <c r="J12" s="20">
        <v>59787962</v>
      </c>
      <c r="K12" s="20">
        <v>1349349</v>
      </c>
      <c r="L12" s="20">
        <v>249143</v>
      </c>
      <c r="M12" s="20">
        <v>149558</v>
      </c>
      <c r="N12" s="20">
        <v>61680653</v>
      </c>
    </row>
    <row r="13" spans="1:14" x14ac:dyDescent="0.2">
      <c r="A13">
        <v>2019</v>
      </c>
      <c r="B13" s="6">
        <f>'Purchased Power Model'!D158</f>
        <v>248931820</v>
      </c>
      <c r="C13" s="6">
        <f ca="1">'Purchased Power Model'!Q158</f>
        <v>245785974.14851943</v>
      </c>
      <c r="D13" s="26">
        <f t="shared" ca="1" si="0"/>
        <v>-3145845.8514805734</v>
      </c>
      <c r="E13" s="5">
        <f t="shared" ca="1" si="1"/>
        <v>-1.2637379389587772E-2</v>
      </c>
      <c r="F13" s="37">
        <f t="shared" si="2"/>
        <v>1.0249307507737639</v>
      </c>
      <c r="G13" s="105">
        <f t="shared" si="3"/>
        <v>242876721</v>
      </c>
      <c r="H13" s="20">
        <v>92484567.999999985</v>
      </c>
      <c r="I13" s="20">
        <v>28348056</v>
      </c>
      <c r="J13" s="20">
        <v>59632442</v>
      </c>
      <c r="K13" s="20">
        <v>1353784</v>
      </c>
      <c r="L13" s="20">
        <v>246885</v>
      </c>
      <c r="M13" s="20">
        <v>144657</v>
      </c>
      <c r="N13" s="20">
        <v>60666329</v>
      </c>
    </row>
    <row r="14" spans="1:14" x14ac:dyDescent="0.2">
      <c r="A14">
        <v>2020</v>
      </c>
      <c r="B14" s="6">
        <f>'Purchased Power Model'!D159</f>
        <v>245634675.53</v>
      </c>
      <c r="C14" s="6">
        <f ca="1">'Purchased Power Model'!Q159</f>
        <v>244448119.66369653</v>
      </c>
      <c r="D14" s="26">
        <f t="shared" ca="1" si="0"/>
        <v>-1186555.8663034737</v>
      </c>
      <c r="E14" s="5">
        <f t="shared" ca="1" si="1"/>
        <v>-4.8305715133389483E-3</v>
      </c>
      <c r="F14" s="37">
        <f t="shared" si="2"/>
        <v>1.0712499986098831</v>
      </c>
      <c r="G14" s="105">
        <f t="shared" si="3"/>
        <v>229297247</v>
      </c>
      <c r="H14" s="20">
        <v>98305958</v>
      </c>
      <c r="I14" s="20">
        <v>26410288</v>
      </c>
      <c r="J14" s="20">
        <f>52047649</f>
        <v>52047649</v>
      </c>
      <c r="K14" s="20">
        <f>1283668</f>
        <v>1283668</v>
      </c>
      <c r="L14" s="20">
        <v>248217</v>
      </c>
      <c r="M14" s="20">
        <f>141998</f>
        <v>141998</v>
      </c>
      <c r="N14" s="20">
        <v>50859469</v>
      </c>
    </row>
    <row r="15" spans="1:14" x14ac:dyDescent="0.2">
      <c r="A15">
        <v>2021</v>
      </c>
      <c r="B15" s="6"/>
      <c r="C15" s="6">
        <f ca="1">'Purchased Power Model'!Q160</f>
        <v>247960299.06653896</v>
      </c>
      <c r="G15" s="103">
        <f ca="1">C15/$F$18</f>
        <v>237606139.84135252</v>
      </c>
      <c r="H15" s="6">
        <f ca="1">H42</f>
        <v>91655701.269563213</v>
      </c>
      <c r="I15" s="6">
        <f t="shared" ref="I15:M15" ca="1" si="4">I42</f>
        <v>27408854.836361811</v>
      </c>
      <c r="J15" s="6">
        <f ca="1">J42</f>
        <v>59119624.275408983</v>
      </c>
      <c r="K15" s="6">
        <f t="shared" ca="1" si="4"/>
        <v>1296260.7933518728</v>
      </c>
      <c r="L15" s="6">
        <f ca="1">L42</f>
        <v>248217</v>
      </c>
      <c r="M15" s="6">
        <f t="shared" ca="1" si="4"/>
        <v>141998</v>
      </c>
      <c r="N15" s="6">
        <f ca="1">N42</f>
        <v>57735483.666666672</v>
      </c>
    </row>
    <row r="16" spans="1:14" x14ac:dyDescent="0.2">
      <c r="A16">
        <v>2022</v>
      </c>
      <c r="B16" s="6"/>
      <c r="C16" s="6">
        <f ca="1">'Purchased Power Model'!Q161</f>
        <v>250543050.86693326</v>
      </c>
      <c r="D16" s="69"/>
      <c r="E16" s="69"/>
      <c r="F16" s="69"/>
      <c r="G16" s="103">
        <f ca="1">C16/$F$18</f>
        <v>240081042.83094487</v>
      </c>
      <c r="H16" s="6">
        <f ca="1">H43</f>
        <v>93507178.852956474</v>
      </c>
      <c r="I16" s="6">
        <f t="shared" ref="I16:N16" ca="1" si="5">I43</f>
        <v>27656662.932092071</v>
      </c>
      <c r="J16" s="6">
        <f t="shared" ca="1" si="5"/>
        <v>59482525.257122323</v>
      </c>
      <c r="K16" s="6">
        <f t="shared" ca="1" si="5"/>
        <v>1308977.1221072949</v>
      </c>
      <c r="L16" s="6">
        <f t="shared" ca="1" si="5"/>
        <v>248217</v>
      </c>
      <c r="M16" s="6">
        <f t="shared" ca="1" si="5"/>
        <v>141998</v>
      </c>
      <c r="N16" s="6">
        <f t="shared" ca="1" si="5"/>
        <v>57735483.666666672</v>
      </c>
    </row>
    <row r="18" spans="1:14" x14ac:dyDescent="0.2">
      <c r="A18" s="13" t="s">
        <v>9</v>
      </c>
      <c r="F18" s="37">
        <v>1.0435769851406189</v>
      </c>
      <c r="L18" s="68"/>
    </row>
    <row r="19" spans="1:14" x14ac:dyDescent="0.2">
      <c r="E19"/>
      <c r="F19"/>
      <c r="G19" s="104"/>
    </row>
    <row r="21" spans="1:14" x14ac:dyDescent="0.2">
      <c r="A21" s="15" t="s">
        <v>11</v>
      </c>
      <c r="B21" s="11"/>
    </row>
    <row r="23" spans="1:14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</row>
    <row r="24" spans="1:14" x14ac:dyDescent="0.2">
      <c r="A24">
        <f t="shared" ref="A24:A32" si="6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</row>
    <row r="25" spans="1:14" x14ac:dyDescent="0.2">
      <c r="A25">
        <f t="shared" si="6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</row>
    <row r="26" spans="1:14" x14ac:dyDescent="0.2">
      <c r="A26">
        <f t="shared" si="6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</row>
    <row r="27" spans="1:14" x14ac:dyDescent="0.2">
      <c r="A27">
        <f t="shared" si="6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</row>
    <row r="28" spans="1:14" x14ac:dyDescent="0.2">
      <c r="A28">
        <f t="shared" si="6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</row>
    <row r="29" spans="1:14" x14ac:dyDescent="0.2">
      <c r="A29">
        <f t="shared" si="6"/>
        <v>2017</v>
      </c>
      <c r="B29" s="69"/>
      <c r="C29" s="69"/>
      <c r="D29" s="69"/>
      <c r="E29" s="69"/>
      <c r="F29" s="69"/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498597.58318739064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</row>
    <row r="30" spans="1:14" x14ac:dyDescent="0.2">
      <c r="A30">
        <f t="shared" si="6"/>
        <v>2018</v>
      </c>
      <c r="B30" s="69"/>
      <c r="C30" s="69"/>
      <c r="D30" s="69"/>
      <c r="E30" s="69"/>
      <c r="F30" s="69"/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</row>
    <row r="31" spans="1:14" x14ac:dyDescent="0.2">
      <c r="A31">
        <f t="shared" si="6"/>
        <v>2019</v>
      </c>
      <c r="B31" s="69"/>
      <c r="C31" s="69"/>
      <c r="D31" s="69"/>
      <c r="E31" s="69"/>
      <c r="F31" s="69"/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</row>
    <row r="32" spans="1:14" x14ac:dyDescent="0.2">
      <c r="A32">
        <f t="shared" si="6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</row>
    <row r="33" spans="1:16" x14ac:dyDescent="0.2">
      <c r="A33">
        <f>A15</f>
        <v>2021</v>
      </c>
      <c r="B33" s="69"/>
      <c r="C33" s="69"/>
      <c r="D33" s="69"/>
      <c r="E33" s="69"/>
      <c r="F33" s="69"/>
      <c r="H33" s="20">
        <f ca="1">'Rate Class Energy Model (WN)'!H120</f>
        <v>8653.1667155694304</v>
      </c>
      <c r="I33" s="20">
        <f ca="1">'Rate Class Energy Model (WN)'!I120</f>
        <v>22499.188168738732</v>
      </c>
      <c r="J33" s="20">
        <f ca="1">'Rate Class Energy Model (WN)'!J120</f>
        <v>619152.03308527439</v>
      </c>
      <c r="K33" s="20">
        <f ca="1">'Rate Class Energy Model (WN)'!K120</f>
        <v>421.41591661423155</v>
      </c>
      <c r="L33" s="20">
        <f ca="1">'Rate Class Energy Model (WN)'!L120</f>
        <v>7756.78125</v>
      </c>
      <c r="M33" s="20">
        <f ca="1">'Rate Class Energy Model (WN)'!M120</f>
        <v>8352.823529411764</v>
      </c>
      <c r="N33" s="20">
        <f>'Rate Class Energy Model (WN)'!N120</f>
        <v>9622580.6111111119</v>
      </c>
    </row>
    <row r="34" spans="1:16" x14ac:dyDescent="0.2">
      <c r="A34">
        <f>A16</f>
        <v>2022</v>
      </c>
      <c r="B34" s="69"/>
      <c r="C34" s="69"/>
      <c r="D34" s="69"/>
      <c r="E34" s="69"/>
      <c r="F34" s="69"/>
      <c r="H34" s="20">
        <f ca="1">'Rate Class Energy Model (WN)'!H121</f>
        <v>8613.4030382316305</v>
      </c>
      <c r="I34" s="20">
        <f ca="1">'Rate Class Energy Model (WN)'!I121</f>
        <v>22249.708115665962</v>
      </c>
      <c r="J34" s="20">
        <f ca="1">'Rate Class Energy Model (WN)'!J121</f>
        <v>614229.91603595368</v>
      </c>
      <c r="K34" s="20">
        <f ca="1">'Rate Class Energy Model (WN)'!K121</f>
        <v>421.41591661423155</v>
      </c>
      <c r="L34" s="20">
        <f ca="1">'Rate Class Energy Model (WN)'!L121</f>
        <v>7756.78125</v>
      </c>
      <c r="M34" s="20">
        <f ca="1">'Rate Class Energy Model (WN)'!M121</f>
        <v>8352.823529411764</v>
      </c>
      <c r="N34" s="20">
        <f>'Rate Class Energy Model (WN)'!N121</f>
        <v>9622580.6111111119</v>
      </c>
    </row>
    <row r="36" spans="1:16" x14ac:dyDescent="0.2">
      <c r="D36" s="6"/>
      <c r="H36" s="18"/>
      <c r="I36" s="18"/>
      <c r="J36" s="18"/>
      <c r="K36" s="18"/>
      <c r="L36" s="18"/>
      <c r="M36" s="18"/>
    </row>
    <row r="37" spans="1:16" x14ac:dyDescent="0.2">
      <c r="A37" s="13" t="s">
        <v>21</v>
      </c>
    </row>
    <row r="38" spans="1:16" x14ac:dyDescent="0.2">
      <c r="A38">
        <v>2021</v>
      </c>
      <c r="B38"/>
      <c r="C38"/>
      <c r="G38" s="106">
        <f ca="1">SUM(H38:N38)</f>
        <v>242021126.77377522</v>
      </c>
      <c r="H38" s="26">
        <f ca="1">H33*'Rate Class Customer Model'!B12</f>
        <v>94158142.839567408</v>
      </c>
      <c r="I38" s="26">
        <f ca="1">I33*'Rate Class Customer Model'!C12</f>
        <v>28157188.620061737</v>
      </c>
      <c r="J38" s="26">
        <f ca="1">J33*'Rate Class Customer Model'!D12</f>
        <v>60283835.854127556</v>
      </c>
      <c r="K38" s="26">
        <f ca="1">K33*'Rate Class Customer Model'!E12</f>
        <v>1296260.7933518728</v>
      </c>
      <c r="L38" s="26">
        <f ca="1">L33*'Rate Class Customer Model'!F12</f>
        <v>248217</v>
      </c>
      <c r="M38" s="26">
        <f ca="1">M33*'Rate Class Customer Model'!G12</f>
        <v>141998</v>
      </c>
      <c r="N38" s="26">
        <f>N33*'Rate Class Customer Model'!H12</f>
        <v>57735483.666666672</v>
      </c>
      <c r="O38" s="6">
        <v>57735483.666666672</v>
      </c>
    </row>
    <row r="39" spans="1:16" x14ac:dyDescent="0.2">
      <c r="A39">
        <v>2022</v>
      </c>
      <c r="B39"/>
      <c r="C39"/>
      <c r="D39" s="69"/>
      <c r="E39" s="69"/>
      <c r="F39" s="69"/>
      <c r="G39" s="106">
        <f ca="1">SUM(H39:N39)</f>
        <v>241970581.35453594</v>
      </c>
      <c r="H39" s="26">
        <f ca="1">H34*'Rate Class Customer Model'!B13</f>
        <v>94582880.669571772</v>
      </c>
      <c r="I39" s="26">
        <f ca="1">I34*'Rate Class Customer Model'!C13</f>
        <v>27974823.771960329</v>
      </c>
      <c r="J39" s="26">
        <f ca="1">J34*'Rate Class Customer Model'!D13</f>
        <v>59978201.124229841</v>
      </c>
      <c r="K39" s="26">
        <f ca="1">K34*'Rate Class Customer Model'!E13</f>
        <v>1308977.1221072949</v>
      </c>
      <c r="L39" s="26">
        <f ca="1">L34*'Rate Class Customer Model'!F13</f>
        <v>248217</v>
      </c>
      <c r="M39" s="26">
        <f ca="1">M34*'Rate Class Customer Model'!G13</f>
        <v>141998</v>
      </c>
      <c r="N39" s="26">
        <f>N34*'Rate Class Customer Model'!H13</f>
        <v>57735483.666666672</v>
      </c>
      <c r="O39" s="6">
        <v>57735483.666666672</v>
      </c>
    </row>
    <row r="40" spans="1:16" x14ac:dyDescent="0.2">
      <c r="G40" s="106"/>
      <c r="H40" s="26"/>
      <c r="I40" s="26"/>
      <c r="J40" s="26"/>
      <c r="K40" s="26"/>
      <c r="L40" s="26"/>
      <c r="M40" s="26"/>
      <c r="N40" s="26"/>
    </row>
    <row r="41" spans="1:16" x14ac:dyDescent="0.2">
      <c r="A41" s="13" t="s">
        <v>20</v>
      </c>
      <c r="G41" s="106"/>
      <c r="H41" s="26"/>
      <c r="I41" s="26"/>
      <c r="J41" s="26"/>
      <c r="K41" s="26"/>
      <c r="L41" s="26"/>
      <c r="M41" s="26"/>
      <c r="O41" s="26" t="s">
        <v>12</v>
      </c>
    </row>
    <row r="42" spans="1:16" x14ac:dyDescent="0.2">
      <c r="A42">
        <v>2021</v>
      </c>
      <c r="B42" s="69"/>
      <c r="C42" s="69"/>
      <c r="D42" s="69"/>
      <c r="E42" s="69"/>
      <c r="F42" s="69"/>
      <c r="G42" s="106">
        <f ca="1">G15</f>
        <v>237606139.84135252</v>
      </c>
      <c r="H42" s="26">
        <f ca="1">H38+H50</f>
        <v>91655701.269563213</v>
      </c>
      <c r="I42" s="26">
        <f t="shared" ref="I42:M42" ca="1" si="7">I38+I50</f>
        <v>27408854.836361811</v>
      </c>
      <c r="J42" s="26">
        <f t="shared" ca="1" si="7"/>
        <v>59119624.275408983</v>
      </c>
      <c r="K42" s="26">
        <f t="shared" ca="1" si="7"/>
        <v>1296260.7933518728</v>
      </c>
      <c r="L42" s="26">
        <f ca="1">L38+L50</f>
        <v>248217</v>
      </c>
      <c r="M42" s="26">
        <f t="shared" ca="1" si="7"/>
        <v>141998</v>
      </c>
      <c r="N42" s="26">
        <f ca="1">N38+N50</f>
        <v>57735483.666666672</v>
      </c>
      <c r="O42" s="26">
        <f ca="1">SUM(H42:N42)</f>
        <v>237606139.84135252</v>
      </c>
      <c r="P42" s="44">
        <f ca="1">G42-O42</f>
        <v>0</v>
      </c>
    </row>
    <row r="43" spans="1:16" x14ac:dyDescent="0.2">
      <c r="A43">
        <v>2022</v>
      </c>
      <c r="B43" s="69"/>
      <c r="C43" s="69"/>
      <c r="D43" s="69"/>
      <c r="E43" s="69"/>
      <c r="F43" s="69"/>
      <c r="G43" s="106">
        <f ca="1">G16</f>
        <v>240081042.83094487</v>
      </c>
      <c r="H43" s="26">
        <f ca="1">H39+H51</f>
        <v>93507178.852956474</v>
      </c>
      <c r="I43" s="26">
        <f t="shared" ref="I43:N43" ca="1" si="8">I39+I51</f>
        <v>27656662.932092071</v>
      </c>
      <c r="J43" s="26">
        <f ca="1">J39+J51</f>
        <v>59482525.257122323</v>
      </c>
      <c r="K43" s="26">
        <f t="shared" ca="1" si="8"/>
        <v>1308977.1221072949</v>
      </c>
      <c r="L43" s="26">
        <f t="shared" ca="1" si="8"/>
        <v>248217</v>
      </c>
      <c r="M43" s="26">
        <f t="shared" ca="1" si="8"/>
        <v>141998</v>
      </c>
      <c r="N43" s="26">
        <f t="shared" ca="1" si="8"/>
        <v>57735483.666666672</v>
      </c>
      <c r="O43" s="26">
        <f ca="1">SUM(H43:N43)</f>
        <v>240081042.83094484</v>
      </c>
      <c r="P43" s="44">
        <f ca="1">G43-O43</f>
        <v>0</v>
      </c>
    </row>
    <row r="44" spans="1:16" x14ac:dyDescent="0.2">
      <c r="D44" s="43"/>
      <c r="G44" s="106"/>
      <c r="H44" s="26"/>
      <c r="I44" s="26"/>
      <c r="J44" s="26"/>
      <c r="K44" s="26"/>
      <c r="L44" s="26"/>
      <c r="M44" s="26"/>
      <c r="O44" s="26"/>
    </row>
    <row r="45" spans="1:16" x14ac:dyDescent="0.2">
      <c r="A45" s="36" t="s">
        <v>22</v>
      </c>
      <c r="G45" s="106"/>
      <c r="H45" s="85">
        <f>(100%+J45)/2</f>
        <v>0.78532972110382038</v>
      </c>
      <c r="I45" s="85">
        <f>H45</f>
        <v>0.78532972110382038</v>
      </c>
      <c r="J45" s="85">
        <v>0.57065944220764075</v>
      </c>
      <c r="K45" s="85"/>
      <c r="L45" s="85"/>
      <c r="M45" s="85"/>
      <c r="N45" s="85"/>
      <c r="O45" s="26" t="s">
        <v>12</v>
      </c>
    </row>
    <row r="46" spans="1:16" x14ac:dyDescent="0.2">
      <c r="A46">
        <v>2021</v>
      </c>
      <c r="B46" s="69"/>
      <c r="C46" s="69"/>
      <c r="D46" s="69"/>
      <c r="E46" s="69"/>
      <c r="F46" s="69"/>
      <c r="G46" s="106">
        <f ca="1">G42-G38</f>
        <v>-4414986.9324226975</v>
      </c>
      <c r="H46" s="26">
        <f ca="1">H38*H45</f>
        <v>73945188.055851161</v>
      </c>
      <c r="I46" s="26">
        <f ca="1">I38*I45</f>
        <v>22112677.086060748</v>
      </c>
      <c r="J46" s="26">
        <f ca="1">J38*J45</f>
        <v>34401540.142653406</v>
      </c>
      <c r="K46" s="26">
        <f t="shared" ref="K46:N46" ca="1" si="9">K38*K45</f>
        <v>0</v>
      </c>
      <c r="L46" s="26">
        <f t="shared" ca="1" si="9"/>
        <v>0</v>
      </c>
      <c r="M46" s="26">
        <f t="shared" ca="1" si="9"/>
        <v>0</v>
      </c>
      <c r="N46" s="26">
        <f t="shared" si="9"/>
        <v>0</v>
      </c>
      <c r="O46" s="26">
        <f ca="1">SUM(H46:N46)</f>
        <v>130459405.28456531</v>
      </c>
    </row>
    <row r="47" spans="1:16" x14ac:dyDescent="0.2">
      <c r="A47">
        <v>2022</v>
      </c>
      <c r="B47" s="69"/>
      <c r="C47" s="69"/>
      <c r="D47" s="69"/>
      <c r="E47" s="69"/>
      <c r="F47" s="69"/>
      <c r="G47" s="106">
        <f ca="1">G43-G39</f>
        <v>-1889538.5235910714</v>
      </c>
      <c r="H47" s="26">
        <f ca="1">H39*H45</f>
        <v>74278747.297430724</v>
      </c>
      <c r="I47" s="26">
        <f ca="1">I39*I45</f>
        <v>21969460.550762128</v>
      </c>
      <c r="J47" s="26">
        <f ca="1">J39*J45</f>
        <v>34227126.798170693</v>
      </c>
      <c r="K47" s="26">
        <f t="shared" ref="K47:N47" ca="1" si="10">K39*K45</f>
        <v>0</v>
      </c>
      <c r="L47" s="26">
        <f t="shared" ca="1" si="10"/>
        <v>0</v>
      </c>
      <c r="M47" s="26">
        <f t="shared" ca="1" si="10"/>
        <v>0</v>
      </c>
      <c r="N47" s="26">
        <f t="shared" si="10"/>
        <v>0</v>
      </c>
      <c r="O47" s="26">
        <f ca="1">SUM(H47:N47)</f>
        <v>130475334.64636356</v>
      </c>
    </row>
    <row r="48" spans="1:16" ht="12" customHeight="1" x14ac:dyDescent="0.2">
      <c r="G48" s="106"/>
      <c r="H48" s="26"/>
      <c r="I48" s="26"/>
      <c r="J48" s="26"/>
      <c r="K48" s="26"/>
      <c r="L48" s="26"/>
      <c r="M48" s="26"/>
      <c r="N48" s="26"/>
      <c r="O48" s="26"/>
    </row>
    <row r="49" spans="1:15" x14ac:dyDescent="0.2">
      <c r="A49" t="s">
        <v>23</v>
      </c>
      <c r="G49" s="106"/>
      <c r="H49" s="26"/>
      <c r="I49" s="26"/>
      <c r="J49" s="26"/>
      <c r="K49" s="26"/>
      <c r="L49" s="26"/>
      <c r="M49" s="26"/>
      <c r="N49" s="26"/>
      <c r="O49" s="26"/>
    </row>
    <row r="50" spans="1:15" x14ac:dyDescent="0.2">
      <c r="A50">
        <v>2021</v>
      </c>
      <c r="B50" s="69"/>
      <c r="C50" s="69"/>
      <c r="D50" s="69"/>
      <c r="E50" s="69"/>
      <c r="F50" s="69"/>
      <c r="G50" s="106"/>
      <c r="H50" s="26">
        <f ca="1">H46/$O$46*$G$46</f>
        <v>-2502441.5700041996</v>
      </c>
      <c r="I50" s="26">
        <f t="shared" ref="I50:N50" ca="1" si="11">I46/$O$46*$G$46</f>
        <v>-748333.78369992704</v>
      </c>
      <c r="J50" s="26">
        <f t="shared" ca="1" si="11"/>
        <v>-1164211.578718571</v>
      </c>
      <c r="K50" s="26">
        <f t="shared" ca="1" si="11"/>
        <v>0</v>
      </c>
      <c r="L50" s="26">
        <f t="shared" ca="1" si="11"/>
        <v>0</v>
      </c>
      <c r="M50" s="26">
        <f t="shared" ca="1" si="11"/>
        <v>0</v>
      </c>
      <c r="N50" s="26">
        <f t="shared" ca="1" si="11"/>
        <v>0</v>
      </c>
      <c r="O50" s="26">
        <f ca="1">SUM(H50:N50)</f>
        <v>-4414986.9324226975</v>
      </c>
    </row>
    <row r="51" spans="1:15" x14ac:dyDescent="0.2">
      <c r="A51">
        <v>2022</v>
      </c>
      <c r="B51" s="69"/>
      <c r="C51" s="69"/>
      <c r="D51" s="69"/>
      <c r="E51" s="69"/>
      <c r="F51" s="69"/>
      <c r="G51" s="106"/>
      <c r="H51" s="26">
        <f ca="1">H47/$O$47*$G$47</f>
        <v>-1075701.8166152928</v>
      </c>
      <c r="I51" s="26">
        <f t="shared" ref="I51:N51" ca="1" si="12">I47/$O$47*$G$47</f>
        <v>-318160.83986826037</v>
      </c>
      <c r="J51" s="26">
        <f t="shared" ca="1" si="12"/>
        <v>-495675.86710751802</v>
      </c>
      <c r="K51" s="26">
        <f t="shared" ca="1" si="12"/>
        <v>0</v>
      </c>
      <c r="L51" s="26">
        <f t="shared" ca="1" si="12"/>
        <v>0</v>
      </c>
      <c r="M51" s="26">
        <f t="shared" ca="1" si="12"/>
        <v>0</v>
      </c>
      <c r="N51" s="26">
        <f t="shared" ca="1" si="12"/>
        <v>0</v>
      </c>
      <c r="O51" s="26">
        <f ca="1">SUM(H51:N51)</f>
        <v>-1889538.5235910711</v>
      </c>
    </row>
    <row r="53" spans="1:15" x14ac:dyDescent="0.2">
      <c r="H53" s="234"/>
    </row>
    <row r="54" spans="1:15" x14ac:dyDescent="0.2">
      <c r="E54" s="86"/>
      <c r="F54"/>
      <c r="G54" s="105"/>
      <c r="H54" s="234"/>
      <c r="I54" s="85"/>
      <c r="J54" s="85"/>
      <c r="K54" s="85"/>
      <c r="L54" s="85"/>
      <c r="M54" s="85"/>
      <c r="N54" s="85"/>
    </row>
    <row r="55" spans="1:15" x14ac:dyDescent="0.2">
      <c r="E55" s="6"/>
      <c r="F55" s="42"/>
      <c r="G55" s="106"/>
      <c r="H55" s="43"/>
      <c r="O55" s="26"/>
    </row>
    <row r="56" spans="1:15" x14ac:dyDescent="0.2">
      <c r="E56" s="6"/>
      <c r="G56" s="106"/>
      <c r="O56" s="26"/>
    </row>
    <row r="57" spans="1:15" x14ac:dyDescent="0.2">
      <c r="E57" s="6"/>
    </row>
    <row r="58" spans="1:15" x14ac:dyDescent="0.2">
      <c r="E58" s="45"/>
    </row>
  </sheetData>
  <phoneticPr fontId="0" type="noConversion"/>
  <pageMargins left="0.38" right="0.75" top="0.73" bottom="0.74" header="0.5" footer="0.5"/>
  <pageSetup scale="8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3B31-1C86-477D-943A-B3FCCB763FE1}">
  <sheetPr codeName="Sheet19">
    <tabColor rgb="FF00B050"/>
    <pageSetUpPr fitToPage="1"/>
  </sheetPr>
  <dimension ref="A2:P139"/>
  <sheetViews>
    <sheetView workbookViewId="0">
      <pane xSplit="1" ySplit="2" topLeftCell="B81" activePane="bottomRight" state="frozen"/>
      <selection activeCell="Y368" sqref="Y368"/>
      <selection pane="topRight" activeCell="Y368" sqref="Y368"/>
      <selection pane="bottomLeft" activeCell="Y368" sqref="Y368"/>
      <selection pane="bottomRight" activeCell="H32" sqref="H32"/>
    </sheetView>
  </sheetViews>
  <sheetFormatPr defaultRowHeight="12.75" x14ac:dyDescent="0.2"/>
  <cols>
    <col min="1" max="1" width="11" customWidth="1"/>
    <col min="2" max="2" width="23.7109375" style="69" bestFit="1" customWidth="1"/>
    <col min="3" max="3" width="17.7109375" style="69" bestFit="1" customWidth="1"/>
    <col min="4" max="4" width="10.28515625" style="69" bestFit="1" customWidth="1"/>
    <col min="5" max="5" width="11.42578125" style="69" bestFit="1" customWidth="1"/>
    <col min="6" max="6" width="15.7109375" style="69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4.140625" style="6" customWidth="1"/>
    <col min="16" max="16" width="12.7109375" customWidth="1"/>
    <col min="17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15" ht="42" customHeight="1" x14ac:dyDescent="0.2">
      <c r="B2" s="2" t="s">
        <v>4</v>
      </c>
      <c r="C2" s="2" t="s">
        <v>5</v>
      </c>
      <c r="D2" s="2" t="s">
        <v>18</v>
      </c>
      <c r="E2" s="2" t="s">
        <v>6</v>
      </c>
      <c r="F2" s="2" t="s">
        <v>1</v>
      </c>
      <c r="G2" s="102" t="s">
        <v>2</v>
      </c>
      <c r="H2" s="83" t="s">
        <v>72</v>
      </c>
      <c r="I2" s="84" t="s">
        <v>73</v>
      </c>
      <c r="J2" s="84" t="s">
        <v>74</v>
      </c>
      <c r="K2" s="84" t="s">
        <v>81</v>
      </c>
      <c r="L2" s="84" t="s">
        <v>82</v>
      </c>
      <c r="M2" s="84" t="s">
        <v>83</v>
      </c>
      <c r="N2" s="94" t="s">
        <v>77</v>
      </c>
    </row>
    <row r="4" spans="1:15" x14ac:dyDescent="0.2">
      <c r="A4" s="16"/>
      <c r="C4" s="119" t="s">
        <v>87</v>
      </c>
    </row>
    <row r="5" spans="1:15" x14ac:dyDescent="0.2">
      <c r="A5">
        <v>2011</v>
      </c>
      <c r="B5" s="6">
        <f>'Purchased Power Model (WN)'!D150</f>
        <v>255035715.38461539</v>
      </c>
      <c r="C5" s="6">
        <f ca="1">'Purchased Power Model (WN)'!S150</f>
        <v>251615919.62733486</v>
      </c>
      <c r="D5" s="26">
        <f ca="1">C5-B5</f>
        <v>-3419795.7572805285</v>
      </c>
      <c r="E5" s="5">
        <f t="shared" ref="E5:E14" ca="1" si="0">D5/B5</f>
        <v>-1.340908567305245E-2</v>
      </c>
      <c r="F5" s="37">
        <f>'Rate Class Energy Model'!F5</f>
        <v>1.0534188007075169</v>
      </c>
      <c r="G5" s="103">
        <f t="shared" ref="G5:G14" si="1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  <c r="O5" s="105">
        <f ca="1">C5/F5</f>
        <v>238856492.26911449</v>
      </c>
    </row>
    <row r="6" spans="1:15" x14ac:dyDescent="0.2">
      <c r="A6">
        <v>2012</v>
      </c>
      <c r="B6" s="6">
        <f>'Purchased Power Model (WN)'!D151</f>
        <v>246901827.27272725</v>
      </c>
      <c r="C6" s="6">
        <f ca="1">'Purchased Power Model (WN)'!S151</f>
        <v>246730071.38204184</v>
      </c>
      <c r="D6" s="26">
        <f ca="1">C6-B6</f>
        <v>-171755.89068540931</v>
      </c>
      <c r="E6" s="5">
        <f t="shared" ca="1" si="0"/>
        <v>-6.956444696364604E-4</v>
      </c>
      <c r="F6" s="37">
        <f>'Rate Class Energy Model'!F6</f>
        <v>1.057307431647464</v>
      </c>
      <c r="G6" s="103">
        <f t="shared" si="1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  <c r="O6" s="105">
        <f t="shared" ref="O6:O14" ca="1" si="2">C6/F6</f>
        <v>233356982.08192354</v>
      </c>
    </row>
    <row r="7" spans="1:15" x14ac:dyDescent="0.2">
      <c r="A7">
        <v>2013</v>
      </c>
      <c r="B7" s="6">
        <f>'Purchased Power Model (WN)'!D152</f>
        <v>247681431.06060606</v>
      </c>
      <c r="C7" s="6">
        <f ca="1">'Purchased Power Model (WN)'!S152</f>
        <v>247739199.26772389</v>
      </c>
      <c r="D7" s="26">
        <f ca="1">C7-B7</f>
        <v>57768.207117825747</v>
      </c>
      <c r="E7" s="5">
        <f t="shared" ca="1" si="0"/>
        <v>2.33235922735323E-4</v>
      </c>
      <c r="F7" s="37">
        <f>'Rate Class Energy Model'!F7</f>
        <v>1.0773176441215928</v>
      </c>
      <c r="G7" s="103">
        <f t="shared" si="1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  <c r="O7" s="105">
        <f t="shared" ca="1" si="2"/>
        <v>229959288.81283829</v>
      </c>
    </row>
    <row r="8" spans="1:15" x14ac:dyDescent="0.2">
      <c r="A8">
        <v>2014</v>
      </c>
      <c r="B8" s="6">
        <f>'Purchased Power Model (WN)'!D153</f>
        <v>249772655.12820518</v>
      </c>
      <c r="C8" s="6">
        <f ca="1">'Purchased Power Model (WN)'!S153</f>
        <v>251720327.29367009</v>
      </c>
      <c r="D8" s="26">
        <f ca="1">C8-B8</f>
        <v>1947672.1654649079</v>
      </c>
      <c r="E8" s="5">
        <f t="shared" ca="1" si="0"/>
        <v>7.7977798028578916E-3</v>
      </c>
      <c r="F8" s="37">
        <f>'Rate Class Energy Model'!F8</f>
        <v>1.0443062038731428</v>
      </c>
      <c r="G8" s="103">
        <f t="shared" si="1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  <c r="O8" s="105">
        <f t="shared" ca="1" si="2"/>
        <v>241040727.67171633</v>
      </c>
    </row>
    <row r="9" spans="1:15" x14ac:dyDescent="0.2">
      <c r="A9">
        <v>2015</v>
      </c>
      <c r="B9" s="6">
        <f>'Purchased Power Model (WN)'!D154</f>
        <v>247718853.84615383</v>
      </c>
      <c r="C9" s="6">
        <f ca="1">'Purchased Power Model (WN)'!S154</f>
        <v>250132682.55227378</v>
      </c>
      <c r="D9" s="26">
        <f t="shared" ref="D9:D14" ca="1" si="3">C9-B9</f>
        <v>2413828.7061199546</v>
      </c>
      <c r="E9" s="5">
        <f t="shared" ca="1" si="0"/>
        <v>9.7442268468554537E-3</v>
      </c>
      <c r="F9" s="37">
        <f>'Rate Class Energy Model'!F9</f>
        <v>1.0040885633530559</v>
      </c>
      <c r="G9" s="103">
        <f t="shared" si="1"/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  <c r="O9" s="105">
        <f t="shared" ca="1" si="2"/>
        <v>249114163.51260898</v>
      </c>
    </row>
    <row r="10" spans="1:15" x14ac:dyDescent="0.2">
      <c r="A10">
        <v>2016</v>
      </c>
      <c r="B10" s="6">
        <f>'Purchased Power Model (WN)'!D155</f>
        <v>244970130.78000003</v>
      </c>
      <c r="C10" s="6">
        <f ca="1">'Purchased Power Model (WN)'!S155</f>
        <v>242746446.19855219</v>
      </c>
      <c r="D10" s="26">
        <f t="shared" ca="1" si="3"/>
        <v>-2223684.5814478397</v>
      </c>
      <c r="E10" s="5">
        <f t="shared" ca="1" si="0"/>
        <v>-9.0773702670096587E-3</v>
      </c>
      <c r="F10" s="37">
        <f>'Rate Class Energy Model'!F10</f>
        <v>1.0273730644944876</v>
      </c>
      <c r="G10" s="103">
        <f t="shared" si="1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  <c r="O10" s="105">
        <f t="shared" ca="1" si="2"/>
        <v>236278772.13034979</v>
      </c>
    </row>
    <row r="11" spans="1:15" x14ac:dyDescent="0.2">
      <c r="A11">
        <v>2017</v>
      </c>
      <c r="B11" s="6">
        <f>'Purchased Power Model (WN)'!D156</f>
        <v>236059300</v>
      </c>
      <c r="C11" s="6">
        <f ca="1">'Purchased Power Model (WN)'!S156</f>
        <v>241846342.03590417</v>
      </c>
      <c r="D11" s="26">
        <f t="shared" ca="1" si="3"/>
        <v>5787042.0359041691</v>
      </c>
      <c r="E11" s="5">
        <f t="shared" ca="1" si="0"/>
        <v>2.4515204594371707E-2</v>
      </c>
      <c r="F11" s="37">
        <f>'Rate Class Energy Model'!F11</f>
        <v>1.0738711982800868</v>
      </c>
      <c r="G11" s="103">
        <f t="shared" si="1"/>
        <v>219820869</v>
      </c>
      <c r="H11" s="20">
        <v>86529650</v>
      </c>
      <c r="I11" s="20">
        <v>27228067</v>
      </c>
      <c r="J11" s="20">
        <v>47449869.999999993</v>
      </c>
      <c r="K11" s="20">
        <v>1361607</v>
      </c>
      <c r="L11" s="20">
        <v>255469</v>
      </c>
      <c r="M11" s="20">
        <v>152795</v>
      </c>
      <c r="N11" s="20">
        <v>56843411</v>
      </c>
      <c r="O11" s="105">
        <f t="shared" ca="1" si="2"/>
        <v>225209822.5776476</v>
      </c>
    </row>
    <row r="12" spans="1:15" x14ac:dyDescent="0.2">
      <c r="A12">
        <v>2018</v>
      </c>
      <c r="B12" s="6">
        <f>'Purchased Power Model (WN)'!D157</f>
        <v>252552933.32999998</v>
      </c>
      <c r="C12" s="6">
        <f ca="1">'Purchased Power Model (WN)'!S157</f>
        <v>245855422.90880871</v>
      </c>
      <c r="D12" s="26">
        <f t="shared" ca="1" si="3"/>
        <v>-6697510.4211912751</v>
      </c>
      <c r="E12" s="5">
        <f t="shared" ca="1" si="0"/>
        <v>-2.6519234335876544E-2</v>
      </c>
      <c r="F12" s="37">
        <f>'Rate Class Energy Model'!F12</f>
        <v>1.0248606819637165</v>
      </c>
      <c r="G12" s="103">
        <f t="shared" si="1"/>
        <v>246426600</v>
      </c>
      <c r="H12" s="20">
        <v>94517190</v>
      </c>
      <c r="I12" s="20">
        <v>28692745</v>
      </c>
      <c r="J12" s="20">
        <v>59787962</v>
      </c>
      <c r="K12" s="20">
        <v>1349349</v>
      </c>
      <c r="L12" s="20">
        <v>249143</v>
      </c>
      <c r="M12" s="20">
        <v>149558</v>
      </c>
      <c r="N12" s="20">
        <v>61680653</v>
      </c>
      <c r="O12" s="105">
        <f t="shared" ca="1" si="2"/>
        <v>239891555.2480067</v>
      </c>
    </row>
    <row r="13" spans="1:15" x14ac:dyDescent="0.2">
      <c r="A13">
        <v>2019</v>
      </c>
      <c r="B13" s="6">
        <f>'Purchased Power Model (WN)'!D158</f>
        <v>248931820</v>
      </c>
      <c r="C13" s="6">
        <f ca="1">'Purchased Power Model (WN)'!S158</f>
        <v>249653671.58319306</v>
      </c>
      <c r="D13" s="26">
        <f t="shared" ca="1" si="3"/>
        <v>721851.58319306374</v>
      </c>
      <c r="E13" s="5">
        <f t="shared" ca="1" si="0"/>
        <v>2.8997963506355424E-3</v>
      </c>
      <c r="F13" s="37">
        <f>'Rate Class Energy Model'!F13</f>
        <v>1.0249307507737639</v>
      </c>
      <c r="G13" s="103">
        <f t="shared" si="1"/>
        <v>242876721</v>
      </c>
      <c r="H13" s="20">
        <v>92484567.999999985</v>
      </c>
      <c r="I13" s="20">
        <v>28348056</v>
      </c>
      <c r="J13" s="20">
        <v>59632442</v>
      </c>
      <c r="K13" s="20">
        <v>1353784</v>
      </c>
      <c r="L13" s="20">
        <v>246885</v>
      </c>
      <c r="M13" s="20">
        <v>144657</v>
      </c>
      <c r="N13" s="20">
        <v>60666329</v>
      </c>
      <c r="O13" s="105">
        <f t="shared" ca="1" si="2"/>
        <v>243581014.02921012</v>
      </c>
    </row>
    <row r="14" spans="1:15" x14ac:dyDescent="0.2">
      <c r="A14">
        <v>2020</v>
      </c>
      <c r="B14" s="6">
        <f>'Purchased Power Model (WN)'!D159</f>
        <v>245634675.53</v>
      </c>
      <c r="C14" s="6">
        <f ca="1">'Purchased Power Model (WN)'!S159</f>
        <v>247219259.48280507</v>
      </c>
      <c r="D14" s="26">
        <f t="shared" ca="1" si="3"/>
        <v>1584583.9528050721</v>
      </c>
      <c r="E14" s="5">
        <f t="shared" ca="1" si="0"/>
        <v>6.4509782643108245E-3</v>
      </c>
      <c r="F14" s="37">
        <f>'Rate Class Energy Model'!F14</f>
        <v>1.0712499986098831</v>
      </c>
      <c r="G14" s="103">
        <f t="shared" si="1"/>
        <v>229297247</v>
      </c>
      <c r="H14" s="20">
        <v>98305958</v>
      </c>
      <c r="I14" s="20">
        <v>26410288</v>
      </c>
      <c r="J14" s="20">
        <f>52047649</f>
        <v>52047649</v>
      </c>
      <c r="K14" s="20">
        <f>1283668</f>
        <v>1283668</v>
      </c>
      <c r="L14" s="20">
        <v>248217</v>
      </c>
      <c r="M14" s="20">
        <f>141998</f>
        <v>141998</v>
      </c>
      <c r="N14" s="20">
        <f>50859469</f>
        <v>50859469</v>
      </c>
      <c r="O14" s="105">
        <f t="shared" ca="1" si="2"/>
        <v>230776438.55646327</v>
      </c>
    </row>
    <row r="15" spans="1:15" x14ac:dyDescent="0.2">
      <c r="A15">
        <v>2021</v>
      </c>
      <c r="B15" s="6"/>
      <c r="C15" s="6">
        <f ca="1">'Purchased Power Model (WN)'!S160</f>
        <v>247960299.06653896</v>
      </c>
      <c r="O15" s="103">
        <f ca="1">C15/$F$18</f>
        <v>237606139.84135252</v>
      </c>
    </row>
    <row r="16" spans="1:15" x14ac:dyDescent="0.2">
      <c r="A16">
        <v>2022</v>
      </c>
      <c r="B16" s="6"/>
      <c r="C16" s="6">
        <f ca="1">'Purchased Power Model (WN)'!S161</f>
        <v>250543050.86693326</v>
      </c>
      <c r="O16" s="103">
        <f ca="1">C16/$F$18</f>
        <v>240081042.83094487</v>
      </c>
    </row>
    <row r="18" spans="1:14" x14ac:dyDescent="0.2">
      <c r="A18" s="13" t="s">
        <v>9</v>
      </c>
      <c r="F18" s="37">
        <v>1.0435769851406189</v>
      </c>
      <c r="L18" s="68"/>
    </row>
    <row r="19" spans="1:14" x14ac:dyDescent="0.2">
      <c r="E19"/>
      <c r="F19"/>
      <c r="G19" s="104"/>
    </row>
    <row r="21" spans="1:14" x14ac:dyDescent="0.2">
      <c r="A21" s="15" t="s">
        <v>11</v>
      </c>
      <c r="B21" s="11"/>
    </row>
    <row r="23" spans="1:14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</row>
    <row r="24" spans="1:14" x14ac:dyDescent="0.2">
      <c r="A24">
        <f t="shared" ref="A24:A32" si="4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</row>
    <row r="25" spans="1:14" x14ac:dyDescent="0.2">
      <c r="A25">
        <f t="shared" si="4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</row>
    <row r="26" spans="1:14" x14ac:dyDescent="0.2">
      <c r="A26">
        <f t="shared" si="4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</row>
    <row r="27" spans="1:14" x14ac:dyDescent="0.2">
      <c r="A27">
        <f t="shared" si="4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</row>
    <row r="28" spans="1:14" x14ac:dyDescent="0.2">
      <c r="A28">
        <f t="shared" si="4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</row>
    <row r="29" spans="1:14" x14ac:dyDescent="0.2">
      <c r="A29">
        <f t="shared" si="4"/>
        <v>2017</v>
      </c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498597.58318739064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</row>
    <row r="30" spans="1:14" x14ac:dyDescent="0.2">
      <c r="A30">
        <f t="shared" si="4"/>
        <v>2018</v>
      </c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</row>
    <row r="31" spans="1:14" x14ac:dyDescent="0.2">
      <c r="A31">
        <f t="shared" si="4"/>
        <v>2019</v>
      </c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</row>
    <row r="32" spans="1:14" x14ac:dyDescent="0.2">
      <c r="A32">
        <f t="shared" si="4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</row>
    <row r="33" spans="1:16" x14ac:dyDescent="0.2">
      <c r="A33">
        <f>A15</f>
        <v>2021</v>
      </c>
      <c r="H33" s="20">
        <f>H31*H48^2</f>
        <v>8565.3882456160136</v>
      </c>
      <c r="I33" s="20">
        <f t="shared" ref="I33:J33" si="5">I31*I48^2</f>
        <v>22270.954462216876</v>
      </c>
      <c r="J33" s="20">
        <f t="shared" si="5"/>
        <v>614586.13735085598</v>
      </c>
      <c r="K33" s="20">
        <f>K32*K48</f>
        <v>421.41591661423155</v>
      </c>
      <c r="L33" s="20">
        <f>L32*L48</f>
        <v>7756.78125</v>
      </c>
      <c r="M33" s="20">
        <f>M32*M48</f>
        <v>8352.823529411764</v>
      </c>
      <c r="N33" s="20">
        <f>AVERAGE(N30:N32)*N48</f>
        <v>9622580.6111111119</v>
      </c>
    </row>
    <row r="34" spans="1:16" x14ac:dyDescent="0.2">
      <c r="A34">
        <f>A16</f>
        <v>2022</v>
      </c>
      <c r="H34" s="20">
        <f t="shared" ref="H34:N34" si="6">H33*H48</f>
        <v>8500.8498895023586</v>
      </c>
      <c r="I34" s="20">
        <f>I33*I48</f>
        <v>21958.96650104396</v>
      </c>
      <c r="J34" s="20">
        <f t="shared" si="6"/>
        <v>608394.16763813922</v>
      </c>
      <c r="K34" s="20">
        <f t="shared" si="6"/>
        <v>421.41591661423155</v>
      </c>
      <c r="L34" s="20">
        <f t="shared" si="6"/>
        <v>7756.78125</v>
      </c>
      <c r="M34" s="20">
        <f t="shared" si="6"/>
        <v>8352.823529411764</v>
      </c>
      <c r="N34" s="20">
        <f t="shared" si="6"/>
        <v>9622580.6111111119</v>
      </c>
    </row>
    <row r="36" spans="1:16" s="6" customFormat="1" x14ac:dyDescent="0.2">
      <c r="A36" s="27"/>
      <c r="B36" s="69"/>
      <c r="C36" s="69"/>
      <c r="E36" s="69"/>
      <c r="F36" s="69"/>
      <c r="G36" s="103"/>
      <c r="H36" s="18"/>
      <c r="I36" s="18"/>
      <c r="J36" s="18"/>
      <c r="K36" s="18"/>
      <c r="L36" s="18"/>
      <c r="M36" s="18"/>
      <c r="N36" s="18"/>
      <c r="P36"/>
    </row>
    <row r="37" spans="1:16" s="6" customFormat="1" x14ac:dyDescent="0.2">
      <c r="A37" s="27"/>
      <c r="B37" s="69"/>
      <c r="C37" s="69"/>
      <c r="E37" s="69"/>
      <c r="F37" s="69"/>
      <c r="G37" s="103"/>
      <c r="H37" s="18"/>
      <c r="I37" s="18"/>
      <c r="J37" s="18"/>
      <c r="K37" s="18"/>
      <c r="L37" s="18"/>
      <c r="M37" s="18"/>
      <c r="N37" s="18"/>
      <c r="P37"/>
    </row>
    <row r="38" spans="1:16" s="6" customFormat="1" x14ac:dyDescent="0.2">
      <c r="A38" s="27">
        <f t="shared" ref="A38:A46" si="7">A24</f>
        <v>2012</v>
      </c>
      <c r="B38" s="69"/>
      <c r="C38" s="69"/>
      <c r="E38" s="69"/>
      <c r="F38" s="69"/>
      <c r="G38" s="103"/>
      <c r="H38" s="18">
        <f t="shared" ref="H38:H45" si="8">H24/H23</f>
        <v>0.97616158632147909</v>
      </c>
      <c r="I38" s="18">
        <f t="shared" ref="I38:N38" si="9">I24/I23</f>
        <v>0.95139826164624042</v>
      </c>
      <c r="J38" s="18">
        <f t="shared" si="9"/>
        <v>1.0076737379804535</v>
      </c>
      <c r="K38" s="18">
        <f t="shared" si="9"/>
        <v>1.0416876518865756</v>
      </c>
      <c r="L38" s="18">
        <f t="shared" si="9"/>
        <v>1.3414482998740209</v>
      </c>
      <c r="M38" s="18">
        <f t="shared" si="9"/>
        <v>0.9675298008834825</v>
      </c>
      <c r="N38" s="18">
        <f t="shared" si="9"/>
        <v>0.95015730384254815</v>
      </c>
      <c r="P38"/>
    </row>
    <row r="39" spans="1:16" s="6" customFormat="1" x14ac:dyDescent="0.2">
      <c r="A39" s="27">
        <f t="shared" si="7"/>
        <v>2013</v>
      </c>
      <c r="B39" s="69"/>
      <c r="C39" s="69"/>
      <c r="E39" s="69"/>
      <c r="F39" s="69"/>
      <c r="G39" s="103"/>
      <c r="H39" s="18">
        <f t="shared" si="8"/>
        <v>0.97627675223392663</v>
      </c>
      <c r="I39" s="18">
        <f t="shared" ref="I39:N45" si="10">I25/I24</f>
        <v>0.98176421437040173</v>
      </c>
      <c r="J39" s="18">
        <f t="shared" si="10"/>
        <v>0.97344468701526277</v>
      </c>
      <c r="K39" s="18">
        <f t="shared" si="10"/>
        <v>1.0675364235394742</v>
      </c>
      <c r="L39" s="18">
        <f t="shared" si="10"/>
        <v>1.0084693631688666</v>
      </c>
      <c r="M39" s="18">
        <f t="shared" si="10"/>
        <v>1.0366916171957898</v>
      </c>
      <c r="N39" s="18">
        <f t="shared" si="10"/>
        <v>0.99400441504559156</v>
      </c>
      <c r="P39"/>
    </row>
    <row r="40" spans="1:16" s="6" customFormat="1" x14ac:dyDescent="0.2">
      <c r="A40" s="27">
        <f t="shared" si="7"/>
        <v>2014</v>
      </c>
      <c r="B40" s="69"/>
      <c r="C40" s="69"/>
      <c r="E40" s="69"/>
      <c r="F40" s="69"/>
      <c r="G40" s="103"/>
      <c r="H40" s="18">
        <f t="shared" si="8"/>
        <v>0.99674314598365144</v>
      </c>
      <c r="I40" s="18">
        <f t="shared" si="10"/>
        <v>1.0219005721491863</v>
      </c>
      <c r="J40" s="18">
        <f t="shared" si="10"/>
        <v>0.95515167004053048</v>
      </c>
      <c r="K40" s="18">
        <f t="shared" si="10"/>
        <v>0.91318381595189857</v>
      </c>
      <c r="L40" s="18">
        <f t="shared" si="10"/>
        <v>0.99646964470043775</v>
      </c>
      <c r="M40" s="18">
        <f t="shared" si="10"/>
        <v>0.98924986998041409</v>
      </c>
      <c r="N40" s="18">
        <f t="shared" si="10"/>
        <v>1.0646200178276033</v>
      </c>
      <c r="P40"/>
    </row>
    <row r="41" spans="1:16" s="6" customFormat="1" x14ac:dyDescent="0.2">
      <c r="A41" s="27">
        <f t="shared" si="7"/>
        <v>2015</v>
      </c>
      <c r="B41" s="69"/>
      <c r="C41" s="69"/>
      <c r="E41" s="69"/>
      <c r="F41" s="69"/>
      <c r="G41" s="103"/>
      <c r="H41" s="18">
        <f t="shared" si="8"/>
        <v>1.0119020727206915</v>
      </c>
      <c r="I41" s="18">
        <f t="shared" si="10"/>
        <v>0.95776129712784686</v>
      </c>
      <c r="J41" s="18">
        <f t="shared" si="10"/>
        <v>1.0547186649280107</v>
      </c>
      <c r="K41" s="18">
        <f t="shared" si="10"/>
        <v>1.0254780920983841</v>
      </c>
      <c r="L41" s="18">
        <f t="shared" si="10"/>
        <v>0.99973043434728526</v>
      </c>
      <c r="M41" s="18">
        <f t="shared" si="10"/>
        <v>0.90922768024429668</v>
      </c>
      <c r="N41" s="18">
        <f t="shared" si="10"/>
        <v>0.93900355609830377</v>
      </c>
      <c r="P41"/>
    </row>
    <row r="42" spans="1:16" s="6" customFormat="1" x14ac:dyDescent="0.2">
      <c r="A42" s="27">
        <f t="shared" si="7"/>
        <v>2016</v>
      </c>
      <c r="B42" s="69"/>
      <c r="C42" s="69"/>
      <c r="E42" s="69"/>
      <c r="F42" s="69"/>
      <c r="G42" s="103"/>
      <c r="H42" s="18">
        <f t="shared" si="8"/>
        <v>0.99650570774364833</v>
      </c>
      <c r="I42" s="18">
        <f t="shared" si="10"/>
        <v>0.98190911866190944</v>
      </c>
      <c r="J42" s="18">
        <f t="shared" si="10"/>
        <v>0.93560279208754715</v>
      </c>
      <c r="K42" s="18">
        <f t="shared" si="10"/>
        <v>0.65572860506797548</v>
      </c>
      <c r="L42" s="18">
        <f t="shared" si="10"/>
        <v>1.007794476589593</v>
      </c>
      <c r="M42" s="18">
        <f t="shared" si="10"/>
        <v>0.58391314746715706</v>
      </c>
      <c r="N42" s="18">
        <f t="shared" si="10"/>
        <v>0.84297691163149757</v>
      </c>
      <c r="P42"/>
    </row>
    <row r="43" spans="1:16" s="6" customFormat="1" x14ac:dyDescent="0.2">
      <c r="A43" s="27">
        <f t="shared" si="7"/>
        <v>2017</v>
      </c>
      <c r="B43" s="69"/>
      <c r="C43" s="69"/>
      <c r="E43" s="69"/>
      <c r="F43" s="69"/>
      <c r="G43" s="103"/>
      <c r="H43" s="18">
        <f t="shared" si="8"/>
        <v>0.94208370250091322</v>
      </c>
      <c r="I43" s="18">
        <f t="shared" si="10"/>
        <v>0.95609911734582942</v>
      </c>
      <c r="J43" s="18">
        <f t="shared" si="10"/>
        <v>0.79297323601094682</v>
      </c>
      <c r="K43" s="18">
        <f t="shared" si="10"/>
        <v>0.84504921848197068</v>
      </c>
      <c r="L43" s="18">
        <f t="shared" si="10"/>
        <v>0.99110301340357798</v>
      </c>
      <c r="M43" s="18">
        <f t="shared" si="10"/>
        <v>0.70055966910040612</v>
      </c>
      <c r="N43" s="18">
        <f t="shared" si="10"/>
        <v>0.90278421380070728</v>
      </c>
      <c r="P43"/>
    </row>
    <row r="44" spans="1:16" s="6" customFormat="1" x14ac:dyDescent="0.2">
      <c r="A44" s="27">
        <f t="shared" si="7"/>
        <v>2018</v>
      </c>
      <c r="B44" s="69"/>
      <c r="C44" s="69"/>
      <c r="E44" s="69"/>
      <c r="F44" s="69"/>
      <c r="G44" s="103"/>
      <c r="H44" s="18">
        <f t="shared" si="8"/>
        <v>1.0787557494451139</v>
      </c>
      <c r="I44" s="18">
        <f t="shared" si="10"/>
        <v>1.0530126761762013</v>
      </c>
      <c r="J44" s="18">
        <f t="shared" si="10"/>
        <v>1.2572713806880915</v>
      </c>
      <c r="K44" s="18">
        <f t="shared" si="10"/>
        <v>0.98264669288743478</v>
      </c>
      <c r="L44" s="18">
        <f t="shared" si="10"/>
        <v>0.94431867127299163</v>
      </c>
      <c r="M44" s="18">
        <f t="shared" si="10"/>
        <v>0.92603552497932329</v>
      </c>
      <c r="N44" s="18">
        <f t="shared" si="10"/>
        <v>1.0850976729739177</v>
      </c>
      <c r="P44"/>
    </row>
    <row r="45" spans="1:16" s="6" customFormat="1" x14ac:dyDescent="0.2">
      <c r="A45" s="27">
        <f t="shared" si="7"/>
        <v>2019</v>
      </c>
      <c r="B45" s="69"/>
      <c r="C45" s="69"/>
      <c r="E45" s="69"/>
      <c r="F45" s="69"/>
      <c r="G45" s="103"/>
      <c r="H45" s="18">
        <f t="shared" si="8"/>
        <v>0.9669712111649571</v>
      </c>
      <c r="I45" s="18">
        <f t="shared" si="10"/>
        <v>0.98841936028776323</v>
      </c>
      <c r="J45" s="18">
        <f t="shared" si="10"/>
        <v>1.0004583130167068</v>
      </c>
      <c r="K45" s="18">
        <f t="shared" si="10"/>
        <v>0.99113604501460328</v>
      </c>
      <c r="L45" s="18">
        <f t="shared" si="10"/>
        <v>0.97674382470609222</v>
      </c>
      <c r="M45" s="18">
        <f t="shared" si="10"/>
        <v>0.96723010470854109</v>
      </c>
      <c r="N45" s="18">
        <f>N31/N30</f>
        <v>0.98355523246487031</v>
      </c>
      <c r="P45"/>
    </row>
    <row r="46" spans="1:16" s="6" customFormat="1" x14ac:dyDescent="0.2">
      <c r="A46" s="27">
        <f t="shared" si="7"/>
        <v>2020</v>
      </c>
      <c r="B46" s="69"/>
      <c r="C46" s="69"/>
      <c r="E46" s="69"/>
      <c r="F46" s="69"/>
      <c r="G46" s="103"/>
      <c r="H46" s="18"/>
      <c r="I46" s="18"/>
      <c r="J46" s="18"/>
      <c r="K46" s="18">
        <f>K32/K31</f>
        <v>0.93173510280258742</v>
      </c>
      <c r="L46" s="18">
        <f>L32/L31</f>
        <v>1.0053952244972355</v>
      </c>
      <c r="M46" s="18">
        <f>M32/M31</f>
        <v>0.98161858741713148</v>
      </c>
      <c r="N46" s="18">
        <f>N32/N31</f>
        <v>0.83834756179164871</v>
      </c>
      <c r="P46"/>
    </row>
    <row r="47" spans="1:16" s="6" customFormat="1" x14ac:dyDescent="0.2">
      <c r="A47" s="3"/>
      <c r="B47" s="69"/>
      <c r="C47" s="69"/>
      <c r="G47" s="103"/>
      <c r="P47"/>
    </row>
    <row r="48" spans="1:16" s="6" customFormat="1" x14ac:dyDescent="0.2">
      <c r="A48" t="s">
        <v>13</v>
      </c>
      <c r="B48" s="69"/>
      <c r="C48" s="69"/>
      <c r="E48" s="69"/>
      <c r="F48" s="69"/>
      <c r="G48" s="103"/>
      <c r="H48" s="18">
        <f>H50</f>
        <v>0.99246521532206233</v>
      </c>
      <c r="I48" s="18">
        <f>I50</f>
        <v>0.98599126221993716</v>
      </c>
      <c r="J48" s="18">
        <f>J50</f>
        <v>0.9899249766039192</v>
      </c>
      <c r="K48" s="18">
        <v>1</v>
      </c>
      <c r="L48" s="18">
        <v>1</v>
      </c>
      <c r="M48" s="18">
        <v>1</v>
      </c>
      <c r="N48" s="18">
        <v>1</v>
      </c>
      <c r="P48"/>
    </row>
    <row r="49" spans="1:16" s="6" customFormat="1" x14ac:dyDescent="0.2">
      <c r="A49" s="3"/>
      <c r="B49" s="69"/>
      <c r="C49" s="69"/>
      <c r="E49" s="69"/>
      <c r="F49" s="69"/>
      <c r="G49" s="103"/>
      <c r="H49" s="11"/>
      <c r="I49" s="11"/>
      <c r="M49" s="9"/>
      <c r="N49" s="9"/>
      <c r="P49"/>
    </row>
    <row r="50" spans="1:16" x14ac:dyDescent="0.2">
      <c r="A50" t="s">
        <v>10</v>
      </c>
      <c r="D50" s="6"/>
      <c r="H50" s="18">
        <f>GEOMEAN(H38:H45)</f>
        <v>0.99246521532206233</v>
      </c>
      <c r="I50" s="18">
        <f>GEOMEAN(I38:I45)</f>
        <v>0.98599126221993716</v>
      </c>
      <c r="J50" s="18">
        <f>GEOMEAN(J38:J45)</f>
        <v>0.9899249766039192</v>
      </c>
      <c r="K50" s="18">
        <f>GEOMEAN(K38:K46)</f>
        <v>0.93063967472163467</v>
      </c>
      <c r="L50" s="18">
        <f>GEOMEAN(L38:L46)</f>
        <v>1.0249464223332188</v>
      </c>
      <c r="M50" s="18">
        <f>GEOMEAN(M38:M46)</f>
        <v>0.88244440838864424</v>
      </c>
      <c r="N50" s="18">
        <f>GEOMEAN(N38:N46)</f>
        <v>0.9520985214271116</v>
      </c>
    </row>
    <row r="51" spans="1:16" x14ac:dyDescent="0.2">
      <c r="D51" s="6"/>
      <c r="H51" s="18"/>
      <c r="I51" s="18"/>
      <c r="J51" s="18"/>
      <c r="K51" s="18"/>
      <c r="L51" s="18"/>
      <c r="M51" s="18"/>
    </row>
    <row r="52" spans="1:16" x14ac:dyDescent="0.2">
      <c r="A52" s="13" t="s">
        <v>21</v>
      </c>
    </row>
    <row r="53" spans="1:16" x14ac:dyDescent="0.2">
      <c r="A53">
        <v>2011</v>
      </c>
      <c r="G53" s="106">
        <f>SUM(H53:N53)</f>
        <v>242102870.40000001</v>
      </c>
      <c r="H53" s="26">
        <f>H23*'Rate Class Customer Model'!B2</f>
        <v>91775630</v>
      </c>
      <c r="I53" s="26">
        <f>I23*'Rate Class Customer Model'!C2</f>
        <v>30635475</v>
      </c>
      <c r="J53" s="26">
        <f>J23*'Rate Class Customer Model'!D2</f>
        <v>64324224</v>
      </c>
      <c r="K53" s="26">
        <f>K23*'Rate Class Customer Model'!E2</f>
        <v>2245234</v>
      </c>
      <c r="L53" s="26">
        <f>L23*'Rate Class Customer Model'!F2</f>
        <v>201696</v>
      </c>
      <c r="M53" s="26">
        <f>M23*'Rate Class Customer Model'!G2</f>
        <v>180196</v>
      </c>
      <c r="N53" s="26">
        <f>N23*'Rate Class Customer Model'!H2</f>
        <v>52740415.399999999</v>
      </c>
    </row>
    <row r="54" spans="1:16" x14ac:dyDescent="0.2">
      <c r="A54">
        <v>2012</v>
      </c>
      <c r="G54" s="106">
        <f t="shared" ref="G54:G62" si="11">SUM(H54:N54)</f>
        <v>233519428.58096859</v>
      </c>
      <c r="H54" s="26">
        <f>H24*'Rate Class Customer Model'!B3</f>
        <v>90281488</v>
      </c>
      <c r="I54" s="26">
        <f>I24*'Rate Class Customer Model'!C3</f>
        <v>29408826</v>
      </c>
      <c r="J54" s="26">
        <f>J24*'Rate Class Customer Model'!D3</f>
        <v>60934472.188461386</v>
      </c>
      <c r="K54" s="26">
        <f>K24*'Rate Class Customer Model'!E3</f>
        <v>2346377.4925071769</v>
      </c>
      <c r="L54" s="26">
        <f>L24*'Rate Class Customer Model'!F3</f>
        <v>262229</v>
      </c>
      <c r="M54" s="26">
        <f>M24*'Rate Class Customer Model'!G3</f>
        <v>174345</v>
      </c>
      <c r="N54" s="26">
        <f>N24*'Rate Class Customer Model'!H3</f>
        <v>50111690.900000006</v>
      </c>
    </row>
    <row r="55" spans="1:16" x14ac:dyDescent="0.2">
      <c r="A55">
        <v>2013</v>
      </c>
      <c r="G55" s="106">
        <f t="shared" si="11"/>
        <v>229905666.55255783</v>
      </c>
      <c r="H55" s="26">
        <f>H25*'Rate Class Customer Model'!B4</f>
        <v>88791227</v>
      </c>
      <c r="I55" s="26">
        <f>I25*'Rate Class Customer Model'!C4</f>
        <v>28921439</v>
      </c>
      <c r="J55" s="26">
        <f>J25*'Rate Class Customer Model'!D4</f>
        <v>59427521.597267792</v>
      </c>
      <c r="K55" s="26">
        <f>K25*'Rate Class Customer Model'!E4</f>
        <v>2512897.9552900312</v>
      </c>
      <c r="L55" s="26">
        <f>L25*'Rate Class Customer Model'!F4</f>
        <v>260597.00000000003</v>
      </c>
      <c r="M55" s="26">
        <f>M25*'Rate Class Customer Model'!G4</f>
        <v>180742</v>
      </c>
      <c r="N55" s="26">
        <f>N25*'Rate Class Customer Model'!H4</f>
        <v>49811242</v>
      </c>
    </row>
    <row r="56" spans="1:16" x14ac:dyDescent="0.2">
      <c r="A56">
        <v>2014</v>
      </c>
      <c r="G56" s="106">
        <f t="shared" si="11"/>
        <v>239175688.31999999</v>
      </c>
      <c r="H56" s="26">
        <f>H26*'Rate Class Customer Model'!B5</f>
        <v>89130958</v>
      </c>
      <c r="I56" s="26">
        <f>I26*'Rate Class Customer Model'!C5</f>
        <v>29746584</v>
      </c>
      <c r="J56" s="26">
        <f>J26*'Rate Class Customer Model'!D5</f>
        <v>57346380</v>
      </c>
      <c r="K56" s="26">
        <f>K26*'Rate Class Customer Model'!E5</f>
        <v>2302093</v>
      </c>
      <c r="L56" s="26">
        <f>L26*'Rate Class Customer Model'!F5</f>
        <v>259677</v>
      </c>
      <c r="M56" s="26">
        <f>M26*'Rate Class Customer Model'!G5</f>
        <v>178799</v>
      </c>
      <c r="N56" s="26">
        <f>N26*'Rate Class Customer Model'!H5</f>
        <v>60211197.32</v>
      </c>
    </row>
    <row r="57" spans="1:16" x14ac:dyDescent="0.2">
      <c r="A57">
        <v>2015</v>
      </c>
      <c r="G57" s="106">
        <f t="shared" si="11"/>
        <v>246710163.71197462</v>
      </c>
      <c r="H57" s="26">
        <f>H27*'Rate Class Customer Model'!B6</f>
        <v>90749017.999999985</v>
      </c>
      <c r="I57" s="26">
        <f>I27*'Rate Class Customer Model'!C6</f>
        <v>28622003</v>
      </c>
      <c r="J57" s="26">
        <f>J27*'Rate Class Customer Model'!D6</f>
        <v>62304426.670519002</v>
      </c>
      <c r="K57" s="26">
        <f>K27*'Rate Class Customer Model'!E6</f>
        <v>2368288.5914556528</v>
      </c>
      <c r="L57" s="26">
        <f>L27*'Rate Class Customer Model'!F6</f>
        <v>259607.00000000003</v>
      </c>
      <c r="M57" s="26">
        <f>M27*'Rate Class Customer Model'!G6</f>
        <v>162569</v>
      </c>
      <c r="N57" s="26">
        <f>N27*'Rate Class Customer Model'!H6</f>
        <v>62244251.450000003</v>
      </c>
    </row>
    <row r="58" spans="1:16" x14ac:dyDescent="0.2">
      <c r="A58">
        <v>2016</v>
      </c>
      <c r="G58" s="106">
        <f t="shared" si="11"/>
        <v>238443209.43000001</v>
      </c>
      <c r="H58" s="26">
        <f>H28*'Rate Class Customer Model'!B7</f>
        <v>90966168</v>
      </c>
      <c r="I58" s="26">
        <f>I28*'Rate Class Customer Model'!C7</f>
        <v>28273982</v>
      </c>
      <c r="J58" s="26">
        <f>J28*'Rate Class Customer Model'!D7</f>
        <v>59051958.999999993</v>
      </c>
      <c r="K58" s="26">
        <f>K28*'Rate Class Customer Model'!E7</f>
        <v>1585584</v>
      </c>
      <c r="L58" s="26">
        <f>L28*'Rate Class Customer Model'!F7</f>
        <v>257059.00000000003</v>
      </c>
      <c r="M58" s="26">
        <f>M28*'Rate Class Customer Model'!G7</f>
        <v>153690</v>
      </c>
      <c r="N58" s="26">
        <f>N28*'Rate Class Customer Model'!H7</f>
        <v>58154767.430000007</v>
      </c>
    </row>
    <row r="59" spans="1:16" x14ac:dyDescent="0.2">
      <c r="A59">
        <v>2017</v>
      </c>
      <c r="G59" s="106">
        <f t="shared" si="11"/>
        <v>219820869</v>
      </c>
      <c r="H59" s="26">
        <f>H29*'Rate Class Customer Model'!B8</f>
        <v>86529650</v>
      </c>
      <c r="I59" s="26">
        <f>I29*'Rate Class Customer Model'!C8</f>
        <v>27228067</v>
      </c>
      <c r="J59" s="26">
        <f>J29*'Rate Class Customer Model'!D8</f>
        <v>47449869.999999993</v>
      </c>
      <c r="K59" s="26">
        <f>K29*'Rate Class Customer Model'!E8</f>
        <v>1361607</v>
      </c>
      <c r="L59" s="26">
        <f>L29*'Rate Class Customer Model'!F8</f>
        <v>255469</v>
      </c>
      <c r="M59" s="26">
        <f>M29*'Rate Class Customer Model'!G8</f>
        <v>152795</v>
      </c>
      <c r="N59" s="26">
        <f>N29*'Rate Class Customer Model'!H8</f>
        <v>56843411</v>
      </c>
    </row>
    <row r="60" spans="1:16" x14ac:dyDescent="0.2">
      <c r="A60">
        <v>2018</v>
      </c>
      <c r="G60" s="106">
        <f t="shared" si="11"/>
        <v>246426600</v>
      </c>
      <c r="H60" s="26">
        <f>H30*'Rate Class Customer Model'!B9</f>
        <v>94517190</v>
      </c>
      <c r="I60" s="26">
        <f>I30*'Rate Class Customer Model'!C9</f>
        <v>28692745</v>
      </c>
      <c r="J60" s="26">
        <f>J30*'Rate Class Customer Model'!D9</f>
        <v>59787962</v>
      </c>
      <c r="K60" s="26">
        <f>K30*'Rate Class Customer Model'!E9</f>
        <v>1349349</v>
      </c>
      <c r="L60" s="26">
        <f>L30*'Rate Class Customer Model'!F9</f>
        <v>249143</v>
      </c>
      <c r="M60" s="26">
        <f>M30*'Rate Class Customer Model'!G9</f>
        <v>149558</v>
      </c>
      <c r="N60" s="26">
        <f>N30*'Rate Class Customer Model'!H9</f>
        <v>61680653</v>
      </c>
    </row>
    <row r="61" spans="1:16" x14ac:dyDescent="0.2">
      <c r="A61">
        <v>2019</v>
      </c>
      <c r="G61" s="106">
        <f t="shared" si="11"/>
        <v>242876721</v>
      </c>
      <c r="H61" s="26">
        <f>H31*'Rate Class Customer Model'!B10</f>
        <v>92484567.999999985</v>
      </c>
      <c r="I61" s="26">
        <f>I31*'Rate Class Customer Model'!C10</f>
        <v>28348056</v>
      </c>
      <c r="J61" s="26">
        <f>J31*'Rate Class Customer Model'!D10</f>
        <v>59632442</v>
      </c>
      <c r="K61" s="26">
        <f>K31*'Rate Class Customer Model'!E10</f>
        <v>1353784</v>
      </c>
      <c r="L61" s="26">
        <f>L31*'Rate Class Customer Model'!F10</f>
        <v>246885</v>
      </c>
      <c r="M61" s="26">
        <f>M31*'Rate Class Customer Model'!G10</f>
        <v>144657</v>
      </c>
      <c r="N61" s="26">
        <f>N31*'Rate Class Customer Model'!H10</f>
        <v>60666329</v>
      </c>
    </row>
    <row r="62" spans="1:16" x14ac:dyDescent="0.2">
      <c r="A62">
        <v>2020</v>
      </c>
      <c r="G62" s="106">
        <f t="shared" si="11"/>
        <v>229297247</v>
      </c>
      <c r="H62" s="26">
        <f>H32*'Rate Class Customer Model'!B11</f>
        <v>98305958</v>
      </c>
      <c r="I62" s="26">
        <f>I32*'Rate Class Customer Model'!C11</f>
        <v>26410288</v>
      </c>
      <c r="J62" s="26">
        <f>J32*'Rate Class Customer Model'!D11</f>
        <v>52047648.999999993</v>
      </c>
      <c r="K62" s="26">
        <f>K32*'Rate Class Customer Model'!E11</f>
        <v>1283668</v>
      </c>
      <c r="L62" s="26">
        <f>L32*'Rate Class Customer Model'!F11</f>
        <v>248217</v>
      </c>
      <c r="M62" s="26">
        <f>M32*'Rate Class Customer Model'!G11</f>
        <v>141998</v>
      </c>
      <c r="N62" s="26">
        <f>N32*'Rate Class Customer Model'!H11</f>
        <v>50859469</v>
      </c>
    </row>
    <row r="63" spans="1:16" x14ac:dyDescent="0.2">
      <c r="A63">
        <v>2021</v>
      </c>
      <c r="B63"/>
      <c r="C63"/>
      <c r="G63" s="106">
        <f>SUM(H63:N63)</f>
        <v>240335790.33331627</v>
      </c>
      <c r="H63" s="26">
        <f>H33*'Rate Class Customer Model'!B12</f>
        <v>93202994.512511447</v>
      </c>
      <c r="I63" s="26">
        <f>I33*'Rate Class Customer Model'!C12</f>
        <v>27871559.668661576</v>
      </c>
      <c r="J63" s="26">
        <f>J33*'Rate Class Customer Model'!D12</f>
        <v>59839276.692124717</v>
      </c>
      <c r="K63" s="26">
        <f>K33*'Rate Class Customer Model'!E12</f>
        <v>1296260.7933518728</v>
      </c>
      <c r="L63" s="26">
        <f>L33*'Rate Class Customer Model'!F12</f>
        <v>248217</v>
      </c>
      <c r="M63" s="26">
        <f>M33*'Rate Class Customer Model'!G12</f>
        <v>141998</v>
      </c>
      <c r="N63" s="26">
        <f>N33*'Rate Class Customer Model'!H12</f>
        <v>57735483.666666672</v>
      </c>
    </row>
    <row r="64" spans="1:16" x14ac:dyDescent="0.2">
      <c r="A64">
        <v>2022</v>
      </c>
      <c r="B64"/>
      <c r="C64"/>
      <c r="G64" s="106">
        <f>SUM(H64:N64)</f>
        <v>239799246.05600357</v>
      </c>
      <c r="H64" s="26">
        <f>H34*'Rate Class Customer Model'!B13</f>
        <v>93346946.278948992</v>
      </c>
      <c r="I64" s="26">
        <f>I34*'Rate Class Customer Model'!C13</f>
        <v>27609270.867178675</v>
      </c>
      <c r="J64" s="26">
        <f>J34*'Rate Class Customer Model'!D13</f>
        <v>59408353.121101923</v>
      </c>
      <c r="K64" s="26">
        <f>K34*'Rate Class Customer Model'!E13</f>
        <v>1308977.1221072949</v>
      </c>
      <c r="L64" s="26">
        <f>L34*'Rate Class Customer Model'!F13</f>
        <v>248217</v>
      </c>
      <c r="M64" s="26">
        <f>M34*'Rate Class Customer Model'!G13</f>
        <v>141998</v>
      </c>
      <c r="N64" s="26">
        <f>N34*'Rate Class Customer Model'!H13</f>
        <v>57735483.666666672</v>
      </c>
    </row>
    <row r="65" spans="1:16" x14ac:dyDescent="0.2">
      <c r="G65" s="106"/>
      <c r="H65" s="26"/>
      <c r="I65" s="26"/>
      <c r="J65" s="26"/>
      <c r="K65" s="26"/>
      <c r="L65" s="26"/>
      <c r="M65" s="26"/>
      <c r="N65" s="26"/>
    </row>
    <row r="66" spans="1:16" x14ac:dyDescent="0.2">
      <c r="A66" s="13" t="s">
        <v>20</v>
      </c>
      <c r="G66" s="106"/>
      <c r="H66" s="26"/>
      <c r="I66" s="26"/>
      <c r="J66" s="26"/>
      <c r="K66" s="26"/>
      <c r="L66" s="26"/>
      <c r="M66" s="26"/>
      <c r="O66" s="26" t="s">
        <v>12</v>
      </c>
    </row>
    <row r="67" spans="1:16" x14ac:dyDescent="0.2">
      <c r="A67" s="13">
        <v>2011</v>
      </c>
      <c r="G67" s="106">
        <f ca="1">O5</f>
        <v>238856492.26911449</v>
      </c>
      <c r="H67" s="26">
        <f t="shared" ref="H67:N75" ca="1" si="12">H53+H95</f>
        <v>90014267.892237678</v>
      </c>
      <c r="I67" s="26">
        <f t="shared" ca="1" si="12"/>
        <v>30047517.556196019</v>
      </c>
      <c r="J67" s="26">
        <f t="shared" ca="1" si="12"/>
        <v>63427165.420680791</v>
      </c>
      <c r="K67" s="26">
        <f t="shared" ca="1" si="12"/>
        <v>2245234</v>
      </c>
      <c r="L67" s="26">
        <f t="shared" ca="1" si="12"/>
        <v>201696</v>
      </c>
      <c r="M67" s="26">
        <f t="shared" ca="1" si="12"/>
        <v>180196</v>
      </c>
      <c r="N67" s="26">
        <f t="shared" ca="1" si="12"/>
        <v>52740415.399999999</v>
      </c>
      <c r="O67" s="26">
        <f t="shared" ref="O67:O76" ca="1" si="13">SUM(H67:N67)</f>
        <v>238856492.26911449</v>
      </c>
      <c r="P67" s="44">
        <f t="shared" ref="P67:P76" ca="1" si="14">G67-O67</f>
        <v>0</v>
      </c>
    </row>
    <row r="68" spans="1:16" x14ac:dyDescent="0.2">
      <c r="A68">
        <v>2012</v>
      </c>
      <c r="G68" s="106">
        <f t="shared" ref="G68:G76" ca="1" si="15">O6</f>
        <v>233356982.08192354</v>
      </c>
      <c r="H68" s="26">
        <f t="shared" ca="1" si="12"/>
        <v>90192044.430023104</v>
      </c>
      <c r="I68" s="26">
        <f t="shared" ca="1" si="12"/>
        <v>29379690.122373909</v>
      </c>
      <c r="J68" s="26">
        <f t="shared" ca="1" si="12"/>
        <v>60890605.137019321</v>
      </c>
      <c r="K68" s="26">
        <f t="shared" ca="1" si="12"/>
        <v>2346377.4925071769</v>
      </c>
      <c r="L68" s="26">
        <f t="shared" ca="1" si="12"/>
        <v>262229</v>
      </c>
      <c r="M68" s="26">
        <f t="shared" ca="1" si="12"/>
        <v>174345</v>
      </c>
      <c r="N68" s="26">
        <f t="shared" ca="1" si="12"/>
        <v>50111690.900000006</v>
      </c>
      <c r="O68" s="26">
        <f t="shared" ca="1" si="13"/>
        <v>233356982.08192354</v>
      </c>
      <c r="P68" s="44">
        <f t="shared" ca="1" si="14"/>
        <v>0</v>
      </c>
    </row>
    <row r="69" spans="1:16" x14ac:dyDescent="0.2">
      <c r="A69">
        <v>2013</v>
      </c>
      <c r="E69" s="49"/>
      <c r="G69" s="106">
        <f t="shared" ca="1" si="15"/>
        <v>229959288.81283829</v>
      </c>
      <c r="H69" s="26">
        <f t="shared" ca="1" si="12"/>
        <v>88820818.766170621</v>
      </c>
      <c r="I69" s="26">
        <f t="shared" ca="1" si="12"/>
        <v>28931077.750236057</v>
      </c>
      <c r="J69" s="26">
        <f t="shared" ca="1" si="12"/>
        <v>59441913.341141574</v>
      </c>
      <c r="K69" s="26">
        <f t="shared" ca="1" si="12"/>
        <v>2512897.9552900312</v>
      </c>
      <c r="L69" s="26">
        <f t="shared" ca="1" si="12"/>
        <v>260597.00000000003</v>
      </c>
      <c r="M69" s="26">
        <f t="shared" ca="1" si="12"/>
        <v>180742</v>
      </c>
      <c r="N69" s="26">
        <f t="shared" ca="1" si="12"/>
        <v>49811242</v>
      </c>
      <c r="O69" s="26">
        <f t="shared" ca="1" si="13"/>
        <v>229959288.81283829</v>
      </c>
      <c r="P69" s="44">
        <f t="shared" ca="1" si="14"/>
        <v>0</v>
      </c>
    </row>
    <row r="70" spans="1:16" x14ac:dyDescent="0.2">
      <c r="A70">
        <v>2014</v>
      </c>
      <c r="G70" s="106">
        <f t="shared" ca="1" si="15"/>
        <v>241040727.67171633</v>
      </c>
      <c r="H70" s="26">
        <f t="shared" ca="1" si="12"/>
        <v>90166364.701303646</v>
      </c>
      <c r="I70" s="26">
        <f t="shared" ca="1" si="12"/>
        <v>30092140.842488915</v>
      </c>
      <c r="J70" s="26">
        <f t="shared" ca="1" si="12"/>
        <v>57830455.807923771</v>
      </c>
      <c r="K70" s="26">
        <f t="shared" ca="1" si="12"/>
        <v>2302093</v>
      </c>
      <c r="L70" s="26">
        <f t="shared" ca="1" si="12"/>
        <v>259677</v>
      </c>
      <c r="M70" s="26">
        <f t="shared" ca="1" si="12"/>
        <v>178799</v>
      </c>
      <c r="N70" s="26">
        <f t="shared" ca="1" si="12"/>
        <v>60211197.32</v>
      </c>
      <c r="O70" s="26">
        <f t="shared" ca="1" si="13"/>
        <v>241040727.67171633</v>
      </c>
      <c r="P70" s="44">
        <f t="shared" ca="1" si="14"/>
        <v>0</v>
      </c>
    </row>
    <row r="71" spans="1:16" x14ac:dyDescent="0.2">
      <c r="A71">
        <v>2015</v>
      </c>
      <c r="G71" s="106">
        <f t="shared" ca="1" si="15"/>
        <v>249114163.51260898</v>
      </c>
      <c r="H71" s="26">
        <f t="shared" ca="1" si="12"/>
        <v>92074058.435244784</v>
      </c>
      <c r="I71" s="26">
        <f t="shared" ca="1" si="12"/>
        <v>29039917.288755145</v>
      </c>
      <c r="J71" s="26">
        <f t="shared" ca="1" si="12"/>
        <v>62965471.747153424</v>
      </c>
      <c r="K71" s="26">
        <f t="shared" ca="1" si="12"/>
        <v>2368288.5914556528</v>
      </c>
      <c r="L71" s="26">
        <f t="shared" ca="1" si="12"/>
        <v>259607.00000000003</v>
      </c>
      <c r="M71" s="26">
        <f t="shared" ca="1" si="12"/>
        <v>162569</v>
      </c>
      <c r="N71" s="26">
        <f t="shared" ca="1" si="12"/>
        <v>62244251.450000003</v>
      </c>
      <c r="O71" s="26">
        <f t="shared" ca="1" si="13"/>
        <v>249114163.512609</v>
      </c>
      <c r="P71" s="44">
        <f t="shared" ca="1" si="14"/>
        <v>0</v>
      </c>
    </row>
    <row r="72" spans="1:16" x14ac:dyDescent="0.2">
      <c r="A72">
        <v>2016</v>
      </c>
      <c r="G72" s="106">
        <f t="shared" ca="1" si="15"/>
        <v>236278772.13034979</v>
      </c>
      <c r="H72" s="26">
        <f ca="1">H58+H100</f>
        <v>89751920.126690745</v>
      </c>
      <c r="I72" s="26">
        <f t="shared" ca="1" si="12"/>
        <v>27896571.109024752</v>
      </c>
      <c r="J72" s="26">
        <f t="shared" ca="1" si="12"/>
        <v>58479180.464634262</v>
      </c>
      <c r="K72" s="26">
        <f t="shared" ca="1" si="12"/>
        <v>1585584</v>
      </c>
      <c r="L72" s="26">
        <f t="shared" ca="1" si="12"/>
        <v>257059.00000000003</v>
      </c>
      <c r="M72" s="26">
        <f t="shared" ca="1" si="12"/>
        <v>153690</v>
      </c>
      <c r="N72" s="26">
        <f t="shared" ca="1" si="12"/>
        <v>58154767.430000007</v>
      </c>
      <c r="O72" s="26">
        <f t="shared" ca="1" si="13"/>
        <v>236278772.13034976</v>
      </c>
      <c r="P72" s="44">
        <f t="shared" ca="1" si="14"/>
        <v>0</v>
      </c>
    </row>
    <row r="73" spans="1:16" x14ac:dyDescent="0.2">
      <c r="A73">
        <v>2017</v>
      </c>
      <c r="G73" s="106">
        <f t="shared" ca="1" si="15"/>
        <v>225209822.5776476</v>
      </c>
      <c r="H73" s="26">
        <f t="shared" ca="1" si="12"/>
        <v>89675314.198201418</v>
      </c>
      <c r="I73" s="26">
        <f t="shared" ca="1" si="12"/>
        <v>28217905.229417656</v>
      </c>
      <c r="J73" s="26">
        <f t="shared" ca="1" si="12"/>
        <v>48703321.150028519</v>
      </c>
      <c r="K73" s="26">
        <f t="shared" ca="1" si="12"/>
        <v>1361607</v>
      </c>
      <c r="L73" s="26">
        <f t="shared" ca="1" si="12"/>
        <v>255469</v>
      </c>
      <c r="M73" s="26">
        <f t="shared" ca="1" si="12"/>
        <v>152795</v>
      </c>
      <c r="N73" s="26">
        <f t="shared" ca="1" si="12"/>
        <v>56843411</v>
      </c>
      <c r="O73" s="26">
        <f t="shared" ca="1" si="13"/>
        <v>225209822.5776476</v>
      </c>
      <c r="P73" s="44">
        <f t="shared" ca="1" si="14"/>
        <v>0</v>
      </c>
    </row>
    <row r="74" spans="1:16" x14ac:dyDescent="0.2">
      <c r="A74">
        <v>2018</v>
      </c>
      <c r="G74" s="106">
        <f t="shared" ca="1" si="15"/>
        <v>239891555.2480067</v>
      </c>
      <c r="H74" s="26">
        <f t="shared" ca="1" si="12"/>
        <v>90810882.31604068</v>
      </c>
      <c r="I74" s="26">
        <f t="shared" ca="1" si="12"/>
        <v>27567614.838307876</v>
      </c>
      <c r="J74" s="26">
        <f t="shared" ca="1" si="12"/>
        <v>58084355.093658142</v>
      </c>
      <c r="K74" s="26">
        <f t="shared" ca="1" si="12"/>
        <v>1349349</v>
      </c>
      <c r="L74" s="26">
        <f t="shared" ca="1" si="12"/>
        <v>249143</v>
      </c>
      <c r="M74" s="26">
        <f t="shared" ca="1" si="12"/>
        <v>149558</v>
      </c>
      <c r="N74" s="26">
        <f t="shared" ca="1" si="12"/>
        <v>61680653</v>
      </c>
      <c r="O74" s="26">
        <f t="shared" ca="1" si="13"/>
        <v>239891555.2480067</v>
      </c>
      <c r="P74" s="44">
        <f t="shared" ca="1" si="14"/>
        <v>0</v>
      </c>
    </row>
    <row r="75" spans="1:16" x14ac:dyDescent="0.2">
      <c r="A75">
        <v>2019</v>
      </c>
      <c r="G75" s="106">
        <f t="shared" ca="1" si="15"/>
        <v>243581014.02921012</v>
      </c>
      <c r="H75" s="26">
        <f t="shared" ca="1" si="12"/>
        <v>92881342.171778485</v>
      </c>
      <c r="I75" s="26">
        <f t="shared" ca="1" si="12"/>
        <v>28469673.872950766</v>
      </c>
      <c r="J75" s="26">
        <f t="shared" ca="1" si="12"/>
        <v>59818342.98448085</v>
      </c>
      <c r="K75" s="26">
        <f t="shared" ca="1" si="12"/>
        <v>1353784</v>
      </c>
      <c r="L75" s="26">
        <f t="shared" ca="1" si="12"/>
        <v>246885</v>
      </c>
      <c r="M75" s="26">
        <f t="shared" ca="1" si="12"/>
        <v>144657</v>
      </c>
      <c r="N75" s="26">
        <f ca="1">N61+N103</f>
        <v>60666329</v>
      </c>
      <c r="O75" s="26">
        <f t="shared" ca="1" si="13"/>
        <v>243581014.02921009</v>
      </c>
      <c r="P75" s="44">
        <f t="shared" ca="1" si="14"/>
        <v>0</v>
      </c>
    </row>
    <row r="76" spans="1:16" x14ac:dyDescent="0.2">
      <c r="A76">
        <v>2020</v>
      </c>
      <c r="G76" s="106">
        <f t="shared" ca="1" si="15"/>
        <v>230776438.55646327</v>
      </c>
      <c r="H76" s="26">
        <f t="shared" ref="H76:M76" ca="1" si="16">H62+H104</f>
        <v>99200607.59869352</v>
      </c>
      <c r="I76" s="26">
        <f t="shared" ca="1" si="16"/>
        <v>26650639.185638007</v>
      </c>
      <c r="J76" s="26">
        <f t="shared" ca="1" si="16"/>
        <v>52391839.772131741</v>
      </c>
      <c r="K76" s="26">
        <f t="shared" ca="1" si="16"/>
        <v>1283668</v>
      </c>
      <c r="L76" s="26">
        <f t="shared" ca="1" si="16"/>
        <v>248217</v>
      </c>
      <c r="M76" s="26">
        <f t="shared" ca="1" si="16"/>
        <v>141998</v>
      </c>
      <c r="N76" s="26">
        <f ca="1">N62+N104</f>
        <v>50859469</v>
      </c>
      <c r="O76" s="26">
        <f t="shared" ca="1" si="13"/>
        <v>230776438.55646327</v>
      </c>
      <c r="P76" s="44">
        <f t="shared" ca="1" si="14"/>
        <v>0</v>
      </c>
    </row>
    <row r="77" spans="1:16" x14ac:dyDescent="0.2">
      <c r="G77" s="106"/>
      <c r="H77" s="26"/>
      <c r="I77" s="26"/>
      <c r="J77" s="26"/>
      <c r="K77" s="26"/>
      <c r="L77" s="26"/>
      <c r="M77" s="26"/>
      <c r="N77" s="26"/>
      <c r="O77" s="26"/>
      <c r="P77" s="44"/>
    </row>
    <row r="78" spans="1:16" x14ac:dyDescent="0.2">
      <c r="G78" s="106"/>
      <c r="H78" s="26"/>
      <c r="I78" s="26"/>
      <c r="J78" s="26"/>
      <c r="K78" s="26"/>
      <c r="L78" s="26"/>
      <c r="M78" s="26"/>
      <c r="N78" s="26"/>
      <c r="O78" s="26"/>
      <c r="P78" s="44"/>
    </row>
    <row r="79" spans="1:16" x14ac:dyDescent="0.2">
      <c r="D79" s="43"/>
      <c r="G79" s="106"/>
      <c r="H79" s="26"/>
      <c r="I79" s="26"/>
      <c r="J79" s="26"/>
      <c r="K79" s="26"/>
      <c r="L79" s="26"/>
      <c r="M79" s="26"/>
      <c r="O79" s="26"/>
    </row>
    <row r="80" spans="1:16" x14ac:dyDescent="0.2">
      <c r="A80" s="36" t="s">
        <v>22</v>
      </c>
      <c r="G80" s="106"/>
      <c r="H80" s="85">
        <f>(100%+J80)/2</f>
        <v>0.78532972110382038</v>
      </c>
      <c r="I80" s="85">
        <f>H80</f>
        <v>0.78532972110382038</v>
      </c>
      <c r="J80" s="85">
        <v>0.57065944220764075</v>
      </c>
      <c r="K80" s="85"/>
      <c r="L80" s="85"/>
      <c r="M80" s="85"/>
      <c r="N80" s="85"/>
      <c r="O80" s="26" t="s">
        <v>12</v>
      </c>
    </row>
    <row r="81" spans="1:15" x14ac:dyDescent="0.2">
      <c r="A81">
        <v>2011</v>
      </c>
      <c r="F81" s="33"/>
      <c r="G81" s="106">
        <f ca="1">G67-G53</f>
        <v>-3246378.1308855116</v>
      </c>
      <c r="H81" s="26">
        <f t="shared" ref="H81:N82" si="17">H53*H$80</f>
        <v>72074129.912027404</v>
      </c>
      <c r="I81" s="26">
        <f t="shared" si="17"/>
        <v>24058949.037633061</v>
      </c>
      <c r="J81" s="26">
        <f t="shared" si="17"/>
        <v>36707225.78827934</v>
      </c>
      <c r="K81" s="26">
        <f t="shared" si="17"/>
        <v>0</v>
      </c>
      <c r="L81" s="26">
        <f t="shared" si="17"/>
        <v>0</v>
      </c>
      <c r="M81" s="26">
        <f t="shared" si="17"/>
        <v>0</v>
      </c>
      <c r="N81" s="26">
        <f t="shared" si="17"/>
        <v>0</v>
      </c>
      <c r="O81" s="26">
        <f t="shared" ref="O81:O90" si="18">SUM(H81:N81)</f>
        <v>132840304.7379398</v>
      </c>
    </row>
    <row r="82" spans="1:15" x14ac:dyDescent="0.2">
      <c r="A82">
        <v>2012</v>
      </c>
      <c r="F82" s="33"/>
      <c r="G82" s="106">
        <f t="shared" ref="G82:G90" ca="1" si="19">G68-G54</f>
        <v>-162446.49904504418</v>
      </c>
      <c r="H82" s="26">
        <f t="shared" si="17"/>
        <v>70900735.79187791</v>
      </c>
      <c r="I82" s="26">
        <f t="shared" si="17"/>
        <v>23095625.120570783</v>
      </c>
      <c r="J82" s="26">
        <f t="shared" si="17"/>
        <v>34772831.91028437</v>
      </c>
      <c r="K82" s="26">
        <f t="shared" si="17"/>
        <v>0</v>
      </c>
      <c r="L82" s="26">
        <f t="shared" si="17"/>
        <v>0</v>
      </c>
      <c r="M82" s="26">
        <f t="shared" si="17"/>
        <v>0</v>
      </c>
      <c r="N82" s="26">
        <f t="shared" si="17"/>
        <v>0</v>
      </c>
      <c r="O82" s="26">
        <f t="shared" si="18"/>
        <v>128769192.82273306</v>
      </c>
    </row>
    <row r="83" spans="1:15" x14ac:dyDescent="0.2">
      <c r="A83">
        <v>2013</v>
      </c>
      <c r="F83" s="33"/>
      <c r="G83" s="106">
        <f t="shared" ca="1" si="19"/>
        <v>53622.260280460119</v>
      </c>
      <c r="H83" s="26">
        <f t="shared" ref="H83:N83" si="20">H55*H$80</f>
        <v>69730389.536375999</v>
      </c>
      <c r="I83" s="26">
        <f>I55*I$80</f>
        <v>22712865.623791154</v>
      </c>
      <c r="J83" s="26">
        <f t="shared" si="20"/>
        <v>33912876.32647936</v>
      </c>
      <c r="K83" s="26">
        <f t="shared" si="20"/>
        <v>0</v>
      </c>
      <c r="L83" s="26">
        <f t="shared" si="20"/>
        <v>0</v>
      </c>
      <c r="M83" s="26">
        <f t="shared" si="20"/>
        <v>0</v>
      </c>
      <c r="N83" s="26">
        <f t="shared" si="20"/>
        <v>0</v>
      </c>
      <c r="O83" s="26">
        <f t="shared" si="18"/>
        <v>126356131.48664652</v>
      </c>
    </row>
    <row r="84" spans="1:15" x14ac:dyDescent="0.2">
      <c r="A84">
        <v>2014</v>
      </c>
      <c r="F84" s="33"/>
      <c r="G84" s="106">
        <f t="shared" ca="1" si="19"/>
        <v>1865039.3517163396</v>
      </c>
      <c r="H84" s="26">
        <f t="shared" ref="H84:N84" si="21">H56*H$80</f>
        <v>69997190.387856334</v>
      </c>
      <c r="I84" s="26">
        <f t="shared" si="21"/>
        <v>23360876.516511366</v>
      </c>
      <c r="J84" s="26">
        <f t="shared" si="21"/>
        <v>32725253.223427407</v>
      </c>
      <c r="K84" s="26">
        <f t="shared" si="21"/>
        <v>0</v>
      </c>
      <c r="L84" s="26">
        <f t="shared" si="21"/>
        <v>0</v>
      </c>
      <c r="M84" s="26">
        <f t="shared" si="21"/>
        <v>0</v>
      </c>
      <c r="N84" s="26">
        <f t="shared" si="21"/>
        <v>0</v>
      </c>
      <c r="O84" s="26">
        <f t="shared" si="18"/>
        <v>126083320.1277951</v>
      </c>
    </row>
    <row r="85" spans="1:15" x14ac:dyDescent="0.2">
      <c r="A85">
        <v>2015</v>
      </c>
      <c r="F85" s="33"/>
      <c r="G85" s="106">
        <f t="shared" ca="1" si="19"/>
        <v>2403999.8006343544</v>
      </c>
      <c r="H85" s="26">
        <f t="shared" ref="H85:N85" si="22">H57*H$80</f>
        <v>71267900.996385559</v>
      </c>
      <c r="I85" s="26">
        <f t="shared" si="22"/>
        <v>22477709.63342271</v>
      </c>
      <c r="J85" s="26">
        <f t="shared" si="22"/>
        <v>35554609.370865233</v>
      </c>
      <c r="K85" s="26">
        <f t="shared" si="22"/>
        <v>0</v>
      </c>
      <c r="L85" s="26">
        <f t="shared" si="22"/>
        <v>0</v>
      </c>
      <c r="M85" s="26">
        <f t="shared" si="22"/>
        <v>0</v>
      </c>
      <c r="N85" s="26">
        <f t="shared" si="22"/>
        <v>0</v>
      </c>
      <c r="O85" s="26">
        <f t="shared" si="18"/>
        <v>129300220.0006735</v>
      </c>
    </row>
    <row r="86" spans="1:15" x14ac:dyDescent="0.2">
      <c r="A86">
        <v>2016</v>
      </c>
      <c r="F86" s="33"/>
      <c r="G86" s="106">
        <f t="shared" ca="1" si="19"/>
        <v>-2164437.2996502221</v>
      </c>
      <c r="H86" s="26">
        <f t="shared" ref="H86:N86" si="23">H58*H$80</f>
        <v>71438435.345323265</v>
      </c>
      <c r="I86" s="26">
        <f t="shared" si="23"/>
        <v>22204398.398554437</v>
      </c>
      <c r="J86" s="26">
        <f t="shared" si="23"/>
        <v>33698557.984208465</v>
      </c>
      <c r="K86" s="26">
        <f t="shared" si="23"/>
        <v>0</v>
      </c>
      <c r="L86" s="26">
        <f t="shared" si="23"/>
        <v>0</v>
      </c>
      <c r="M86" s="26">
        <f t="shared" si="23"/>
        <v>0</v>
      </c>
      <c r="N86" s="26">
        <f t="shared" si="23"/>
        <v>0</v>
      </c>
      <c r="O86" s="26">
        <f t="shared" si="18"/>
        <v>127341391.72808617</v>
      </c>
    </row>
    <row r="87" spans="1:15" x14ac:dyDescent="0.2">
      <c r="A87">
        <v>2017</v>
      </c>
      <c r="F87" s="33"/>
      <c r="G87" s="106">
        <f t="shared" ca="1" si="19"/>
        <v>5388953.5776475966</v>
      </c>
      <c r="H87" s="26">
        <f t="shared" ref="H87:N87" si="24">H59*H$80</f>
        <v>67954305.901711196</v>
      </c>
      <c r="I87" s="26">
        <f t="shared" si="24"/>
        <v>21383010.263306133</v>
      </c>
      <c r="J87" s="26">
        <f t="shared" si="24"/>
        <v>27077716.347025063</v>
      </c>
      <c r="K87" s="26">
        <f t="shared" si="24"/>
        <v>0</v>
      </c>
      <c r="L87" s="26">
        <f t="shared" si="24"/>
        <v>0</v>
      </c>
      <c r="M87" s="26">
        <f t="shared" si="24"/>
        <v>0</v>
      </c>
      <c r="N87" s="26">
        <f t="shared" si="24"/>
        <v>0</v>
      </c>
      <c r="O87" s="26">
        <f t="shared" si="18"/>
        <v>116415032.5120424</v>
      </c>
    </row>
    <row r="88" spans="1:15" x14ac:dyDescent="0.2">
      <c r="A88">
        <v>2018</v>
      </c>
      <c r="F88" s="33"/>
      <c r="G88" s="106">
        <f t="shared" ca="1" si="19"/>
        <v>-6535044.7519932985</v>
      </c>
      <c r="H88" s="26">
        <f t="shared" ref="H88:N88" si="25">H60*H$80</f>
        <v>74227158.462216794</v>
      </c>
      <c r="I88" s="26">
        <f t="shared" si="25"/>
        <v>22533265.428553037</v>
      </c>
      <c r="J88" s="26">
        <f t="shared" si="25"/>
        <v>34118565.045651622</v>
      </c>
      <c r="K88" s="26">
        <f t="shared" si="25"/>
        <v>0</v>
      </c>
      <c r="L88" s="26">
        <f t="shared" si="25"/>
        <v>0</v>
      </c>
      <c r="M88" s="26">
        <f t="shared" si="25"/>
        <v>0</v>
      </c>
      <c r="N88" s="26">
        <f t="shared" si="25"/>
        <v>0</v>
      </c>
      <c r="O88" s="26">
        <f t="shared" si="18"/>
        <v>130878988.93642145</v>
      </c>
    </row>
    <row r="89" spans="1:15" x14ac:dyDescent="0.2">
      <c r="A89">
        <v>2019</v>
      </c>
      <c r="F89" s="33"/>
      <c r="G89" s="106">
        <f t="shared" ca="1" si="19"/>
        <v>704293.02921012044</v>
      </c>
      <c r="H89" s="26">
        <f t="shared" ref="H89:N89" si="26">H61*H$80</f>
        <v>72630879.993847296</v>
      </c>
      <c r="I89" s="26">
        <f t="shared" si="26"/>
        <v>22262570.91231548</v>
      </c>
      <c r="J89" s="26">
        <f t="shared" si="26"/>
        <v>34029816.089199491</v>
      </c>
      <c r="K89" s="26">
        <f t="shared" si="26"/>
        <v>0</v>
      </c>
      <c r="L89" s="26">
        <f t="shared" si="26"/>
        <v>0</v>
      </c>
      <c r="M89" s="26">
        <f t="shared" si="26"/>
        <v>0</v>
      </c>
      <c r="N89" s="26">
        <f t="shared" si="26"/>
        <v>0</v>
      </c>
      <c r="O89" s="26">
        <f t="shared" si="18"/>
        <v>128923266.99536225</v>
      </c>
    </row>
    <row r="90" spans="1:15" x14ac:dyDescent="0.2">
      <c r="A90">
        <v>2020</v>
      </c>
      <c r="F90" s="33"/>
      <c r="G90" s="106">
        <f t="shared" ca="1" si="19"/>
        <v>1479191.5564632714</v>
      </c>
      <c r="H90" s="26">
        <f t="shared" ref="H90:N90" si="27">H62*H$80</f>
        <v>77202590.578983873</v>
      </c>
      <c r="I90" s="26">
        <f t="shared" si="27"/>
        <v>20740784.109311573</v>
      </c>
      <c r="J90" s="26">
        <f t="shared" si="27"/>
        <v>29701482.346559066</v>
      </c>
      <c r="K90" s="26">
        <f t="shared" si="27"/>
        <v>0</v>
      </c>
      <c r="L90" s="26">
        <f t="shared" si="27"/>
        <v>0</v>
      </c>
      <c r="M90" s="26">
        <f t="shared" si="27"/>
        <v>0</v>
      </c>
      <c r="N90" s="26">
        <f t="shared" si="27"/>
        <v>0</v>
      </c>
      <c r="O90" s="26">
        <f t="shared" si="18"/>
        <v>127644857.03485452</v>
      </c>
    </row>
    <row r="91" spans="1:15" x14ac:dyDescent="0.2">
      <c r="F91" s="33"/>
      <c r="G91" s="106"/>
      <c r="H91" s="26"/>
      <c r="I91" s="26"/>
      <c r="J91" s="26"/>
      <c r="K91" s="26"/>
      <c r="L91" s="26"/>
      <c r="M91" s="26"/>
      <c r="N91" s="26"/>
      <c r="O91" s="26"/>
    </row>
    <row r="92" spans="1:15" x14ac:dyDescent="0.2">
      <c r="F92" s="33"/>
      <c r="G92" s="106"/>
      <c r="H92" s="26"/>
      <c r="I92" s="26"/>
      <c r="J92" s="26"/>
      <c r="K92" s="26"/>
      <c r="L92" s="26"/>
      <c r="M92" s="26"/>
      <c r="N92" s="26"/>
      <c r="O92" s="26"/>
    </row>
    <row r="93" spans="1:15" ht="12" customHeight="1" x14ac:dyDescent="0.2">
      <c r="G93" s="106"/>
      <c r="H93" s="26"/>
      <c r="I93" s="26"/>
      <c r="J93" s="26"/>
      <c r="K93" s="26"/>
      <c r="L93" s="26"/>
      <c r="M93" s="26"/>
      <c r="N93" s="26"/>
      <c r="O93" s="26"/>
    </row>
    <row r="94" spans="1:15" x14ac:dyDescent="0.2">
      <c r="A94" t="s">
        <v>23</v>
      </c>
      <c r="G94" s="106"/>
      <c r="H94" s="26"/>
      <c r="I94" s="26"/>
      <c r="J94" s="26"/>
      <c r="K94" s="26"/>
      <c r="L94" s="26"/>
      <c r="M94" s="26"/>
      <c r="N94" s="26"/>
      <c r="O94" s="26"/>
    </row>
    <row r="95" spans="1:15" x14ac:dyDescent="0.2">
      <c r="A95">
        <v>2011</v>
      </c>
      <c r="G95" s="106"/>
      <c r="H95" s="26">
        <f ca="1">H81/$O81*$G81</f>
        <v>-1761362.1077623237</v>
      </c>
      <c r="I95" s="26">
        <f t="shared" ref="I95:N95" ca="1" si="28">I81/$O81*$G81</f>
        <v>-587957.44380398141</v>
      </c>
      <c r="J95" s="26">
        <f t="shared" ca="1" si="28"/>
        <v>-897058.57931920653</v>
      </c>
      <c r="K95" s="26">
        <f t="shared" ca="1" si="28"/>
        <v>0</v>
      </c>
      <c r="L95" s="26">
        <f t="shared" ca="1" si="28"/>
        <v>0</v>
      </c>
      <c r="M95" s="26">
        <f t="shared" ca="1" si="28"/>
        <v>0</v>
      </c>
      <c r="N95" s="26">
        <f t="shared" ca="1" si="28"/>
        <v>0</v>
      </c>
      <c r="O95" s="26">
        <f t="shared" ref="O95:O104" ca="1" si="29">SUM(H95:N95)</f>
        <v>-3246378.1308855116</v>
      </c>
    </row>
    <row r="96" spans="1:15" x14ac:dyDescent="0.2">
      <c r="A96">
        <v>2012</v>
      </c>
      <c r="G96" s="106"/>
      <c r="H96" s="26">
        <f t="shared" ref="H96:N104" ca="1" si="30">H82/$O82*$G82</f>
        <v>-89443.569976893559</v>
      </c>
      <c r="I96" s="26">
        <f t="shared" ca="1" si="30"/>
        <v>-29135.877626089714</v>
      </c>
      <c r="J96" s="26">
        <f t="shared" ca="1" si="30"/>
        <v>-43867.051442060918</v>
      </c>
      <c r="K96" s="26">
        <f t="shared" ca="1" si="30"/>
        <v>0</v>
      </c>
      <c r="L96" s="26">
        <f t="shared" ca="1" si="30"/>
        <v>0</v>
      </c>
      <c r="M96" s="26">
        <f t="shared" ca="1" si="30"/>
        <v>0</v>
      </c>
      <c r="N96" s="26">
        <f t="shared" ca="1" si="30"/>
        <v>0</v>
      </c>
      <c r="O96" s="26">
        <f t="shared" ca="1" si="29"/>
        <v>-162446.49904504418</v>
      </c>
    </row>
    <row r="97" spans="1:15" x14ac:dyDescent="0.2">
      <c r="A97">
        <v>2013</v>
      </c>
      <c r="G97" s="106"/>
      <c r="H97" s="26">
        <f t="shared" ca="1" si="30"/>
        <v>29591.766170623701</v>
      </c>
      <c r="I97" s="26">
        <f t="shared" ca="1" si="30"/>
        <v>9638.7502360560575</v>
      </c>
      <c r="J97" s="26">
        <f t="shared" ca="1" si="30"/>
        <v>14391.743873780359</v>
      </c>
      <c r="K97" s="26">
        <f t="shared" ca="1" si="30"/>
        <v>0</v>
      </c>
      <c r="L97" s="26">
        <f t="shared" ca="1" si="30"/>
        <v>0</v>
      </c>
      <c r="M97" s="26">
        <f t="shared" ca="1" si="30"/>
        <v>0</v>
      </c>
      <c r="N97" s="26">
        <f t="shared" ca="1" si="30"/>
        <v>0</v>
      </c>
      <c r="O97" s="26">
        <f t="shared" ca="1" si="29"/>
        <v>53622.260280460119</v>
      </c>
    </row>
    <row r="98" spans="1:15" x14ac:dyDescent="0.2">
      <c r="A98">
        <v>2014</v>
      </c>
      <c r="G98" s="106"/>
      <c r="H98" s="26">
        <f t="shared" ca="1" si="30"/>
        <v>1035406.7013036528</v>
      </c>
      <c r="I98" s="26">
        <f t="shared" ca="1" si="30"/>
        <v>345556.84248891409</v>
      </c>
      <c r="J98" s="26">
        <f t="shared" ca="1" si="30"/>
        <v>484075.80792377284</v>
      </c>
      <c r="K98" s="26">
        <f t="shared" ca="1" si="30"/>
        <v>0</v>
      </c>
      <c r="L98" s="26">
        <f t="shared" ca="1" si="30"/>
        <v>0</v>
      </c>
      <c r="M98" s="26">
        <f t="shared" ca="1" si="30"/>
        <v>0</v>
      </c>
      <c r="N98" s="26">
        <f t="shared" ca="1" si="30"/>
        <v>0</v>
      </c>
      <c r="O98" s="26">
        <f t="shared" ca="1" si="29"/>
        <v>1865039.3517163398</v>
      </c>
    </row>
    <row r="99" spans="1:15" x14ac:dyDescent="0.2">
      <c r="A99">
        <v>2015</v>
      </c>
      <c r="G99" s="106"/>
      <c r="H99" s="26">
        <f t="shared" ca="1" si="30"/>
        <v>1325040.4352447921</v>
      </c>
      <c r="I99" s="26">
        <f t="shared" ca="1" si="30"/>
        <v>417914.28875514393</v>
      </c>
      <c r="J99" s="26">
        <f t="shared" ca="1" si="30"/>
        <v>661045.07663441834</v>
      </c>
      <c r="K99" s="26">
        <f t="shared" ca="1" si="30"/>
        <v>0</v>
      </c>
      <c r="L99" s="26">
        <f t="shared" ca="1" si="30"/>
        <v>0</v>
      </c>
      <c r="M99" s="26">
        <f t="shared" ca="1" si="30"/>
        <v>0</v>
      </c>
      <c r="N99" s="26">
        <f t="shared" ca="1" si="30"/>
        <v>0</v>
      </c>
      <c r="O99" s="26">
        <f t="shared" ca="1" si="29"/>
        <v>2403999.8006343544</v>
      </c>
    </row>
    <row r="100" spans="1:15" x14ac:dyDescent="0.2">
      <c r="A100">
        <v>2016</v>
      </c>
      <c r="G100" s="106"/>
      <c r="H100" s="26">
        <f t="shared" ca="1" si="30"/>
        <v>-1214247.8733092477</v>
      </c>
      <c r="I100" s="26">
        <f t="shared" ca="1" si="30"/>
        <v>-377410.89097524644</v>
      </c>
      <c r="J100" s="26">
        <f t="shared" ca="1" si="30"/>
        <v>-572778.53536572785</v>
      </c>
      <c r="K100" s="26">
        <f t="shared" ca="1" si="30"/>
        <v>0</v>
      </c>
      <c r="L100" s="26">
        <f t="shared" ca="1" si="30"/>
        <v>0</v>
      </c>
      <c r="M100" s="26">
        <f t="shared" ca="1" si="30"/>
        <v>0</v>
      </c>
      <c r="N100" s="26">
        <f t="shared" ca="1" si="30"/>
        <v>0</v>
      </c>
      <c r="O100" s="26">
        <f t="shared" ca="1" si="29"/>
        <v>-2164437.2996502221</v>
      </c>
    </row>
    <row r="101" spans="1:15" x14ac:dyDescent="0.2">
      <c r="A101">
        <v>2017</v>
      </c>
      <c r="G101" s="106"/>
      <c r="H101" s="26">
        <f t="shared" ca="1" si="30"/>
        <v>3145664.1982014165</v>
      </c>
      <c r="I101" s="26">
        <f t="shared" ca="1" si="30"/>
        <v>989838.2294176555</v>
      </c>
      <c r="J101" s="26">
        <f t="shared" ca="1" si="30"/>
        <v>1253451.1500285238</v>
      </c>
      <c r="K101" s="26">
        <f t="shared" ca="1" si="30"/>
        <v>0</v>
      </c>
      <c r="L101" s="26">
        <f t="shared" ca="1" si="30"/>
        <v>0</v>
      </c>
      <c r="M101" s="26">
        <f t="shared" ca="1" si="30"/>
        <v>0</v>
      </c>
      <c r="N101" s="26">
        <f t="shared" ca="1" si="30"/>
        <v>0</v>
      </c>
      <c r="O101" s="26">
        <f t="shared" ca="1" si="29"/>
        <v>5388953.5776475957</v>
      </c>
    </row>
    <row r="102" spans="1:15" x14ac:dyDescent="0.2">
      <c r="A102">
        <v>2018</v>
      </c>
      <c r="G102" s="106"/>
      <c r="H102" s="26">
        <f t="shared" ca="1" si="30"/>
        <v>-3706307.6839593137</v>
      </c>
      <c r="I102" s="26">
        <f t="shared" ca="1" si="30"/>
        <v>-1125130.1616921239</v>
      </c>
      <c r="J102" s="26">
        <f t="shared" ca="1" si="30"/>
        <v>-1703606.9063418615</v>
      </c>
      <c r="K102" s="26">
        <f t="shared" ca="1" si="30"/>
        <v>0</v>
      </c>
      <c r="L102" s="26">
        <f t="shared" ca="1" si="30"/>
        <v>0</v>
      </c>
      <c r="M102" s="26">
        <f t="shared" ca="1" si="30"/>
        <v>0</v>
      </c>
      <c r="N102" s="26">
        <f t="shared" ca="1" si="30"/>
        <v>0</v>
      </c>
      <c r="O102" s="26">
        <f t="shared" ca="1" si="29"/>
        <v>-6535044.7519932985</v>
      </c>
    </row>
    <row r="103" spans="1:15" x14ac:dyDescent="0.2">
      <c r="A103">
        <v>2019</v>
      </c>
      <c r="G103" s="106"/>
      <c r="H103" s="26">
        <f t="shared" ca="1" si="30"/>
        <v>396774.1717785013</v>
      </c>
      <c r="I103" s="26">
        <f t="shared" ca="1" si="30"/>
        <v>121617.87295076705</v>
      </c>
      <c r="J103" s="26">
        <f t="shared" ca="1" si="30"/>
        <v>185900.98448085223</v>
      </c>
      <c r="K103" s="26">
        <f t="shared" ca="1" si="30"/>
        <v>0</v>
      </c>
      <c r="L103" s="26">
        <f t="shared" ca="1" si="30"/>
        <v>0</v>
      </c>
      <c r="M103" s="26">
        <f t="shared" ca="1" si="30"/>
        <v>0</v>
      </c>
      <c r="N103" s="26">
        <f t="shared" ca="1" si="30"/>
        <v>0</v>
      </c>
      <c r="O103" s="26">
        <f t="shared" ca="1" si="29"/>
        <v>704293.02921012056</v>
      </c>
    </row>
    <row r="104" spans="1:15" x14ac:dyDescent="0.2">
      <c r="A104">
        <v>2020</v>
      </c>
      <c r="G104" s="106"/>
      <c r="H104" s="26">
        <f t="shared" ca="1" si="30"/>
        <v>894649.59869351622</v>
      </c>
      <c r="I104" s="26">
        <f t="shared" ca="1" si="30"/>
        <v>240351.18563800771</v>
      </c>
      <c r="J104" s="26">
        <f t="shared" ca="1" si="30"/>
        <v>344190.77213174739</v>
      </c>
      <c r="K104" s="26">
        <f t="shared" ca="1" si="30"/>
        <v>0</v>
      </c>
      <c r="L104" s="26">
        <f t="shared" ca="1" si="30"/>
        <v>0</v>
      </c>
      <c r="M104" s="26">
        <f t="shared" ca="1" si="30"/>
        <v>0</v>
      </c>
      <c r="N104" s="26">
        <f t="shared" ca="1" si="30"/>
        <v>0</v>
      </c>
      <c r="O104" s="26">
        <f t="shared" ca="1" si="29"/>
        <v>1479191.5564632711</v>
      </c>
    </row>
    <row r="105" spans="1:15" x14ac:dyDescent="0.2">
      <c r="G105" s="106"/>
      <c r="H105" s="26"/>
      <c r="I105" s="26"/>
      <c r="J105" s="26"/>
      <c r="K105" s="26"/>
      <c r="L105" s="26"/>
      <c r="M105" s="26"/>
      <c r="N105" s="26"/>
      <c r="O105" s="26"/>
    </row>
    <row r="106" spans="1:15" x14ac:dyDescent="0.2">
      <c r="G106" s="106"/>
      <c r="H106" s="26"/>
      <c r="I106" s="26"/>
      <c r="J106" s="26"/>
      <c r="K106" s="26"/>
      <c r="L106" s="26"/>
      <c r="M106" s="26"/>
      <c r="N106" s="26"/>
      <c r="O106" s="26"/>
    </row>
    <row r="109" spans="1:15" x14ac:dyDescent="0.2">
      <c r="A109" s="124" t="s">
        <v>207</v>
      </c>
      <c r="E109" s="86"/>
      <c r="F109"/>
      <c r="G109" s="105"/>
      <c r="H109" s="85"/>
      <c r="I109" s="85"/>
      <c r="J109" s="85"/>
      <c r="K109" s="85"/>
      <c r="L109" s="85"/>
      <c r="M109" s="85"/>
      <c r="N109" s="85"/>
    </row>
    <row r="110" spans="1:15" x14ac:dyDescent="0.2">
      <c r="A110">
        <v>2011</v>
      </c>
      <c r="E110" s="6"/>
      <c r="F110" s="42"/>
      <c r="G110" s="106"/>
      <c r="H110" s="6">
        <f ca="1">H67/'Rate Class Customer Model'!B2</f>
        <v>9061.0408873954257</v>
      </c>
      <c r="I110" s="6">
        <f ca="1">I67/'Rate Class Customer Model'!C2</f>
        <v>25153.13642653311</v>
      </c>
      <c r="J110" s="6">
        <f ca="1">J67/'Rate Class Customer Model'!D2</f>
        <v>670595.58154023718</v>
      </c>
      <c r="K110" s="6">
        <f ca="1">K67/'Rate Class Customer Model'!E2</f>
        <v>804.77942560150541</v>
      </c>
      <c r="L110" s="6">
        <f ca="1">L67/'Rate Class Customer Model'!F2</f>
        <v>6213.9974326059073</v>
      </c>
      <c r="M110" s="6">
        <f ca="1">M67/'Rate Class Customer Model'!G2</f>
        <v>25742.285714285714</v>
      </c>
      <c r="N110" s="6">
        <f ca="1">N67/'Rate Class Customer Model'!H2</f>
        <v>13185103.85</v>
      </c>
      <c r="O110" s="26"/>
    </row>
    <row r="111" spans="1:15" x14ac:dyDescent="0.2">
      <c r="A111">
        <v>2012</v>
      </c>
      <c r="E111" s="6"/>
      <c r="G111" s="106"/>
      <c r="H111" s="6">
        <f ca="1">H68/'Rate Class Customer Model'!B3</f>
        <v>9009.1817283295441</v>
      </c>
      <c r="I111" s="6">
        <f ca="1">I68/'Rate Class Customer Model'!C3</f>
        <v>24374.742911261532</v>
      </c>
      <c r="J111" s="6">
        <f ca="1">J68/'Rate Class Customer Model'!D3</f>
        <v>684805.306133301</v>
      </c>
      <c r="K111" s="6">
        <f ca="1">K68/'Rate Class Customer Model'!E3</f>
        <v>838.32879014145931</v>
      </c>
      <c r="L111" s="6">
        <f ca="1">L68/'Rate Class Customer Model'!F3</f>
        <v>8335.7562913907259</v>
      </c>
      <c r="M111" s="6">
        <f ca="1">M68/'Rate Class Customer Model'!G3</f>
        <v>24906.428571428572</v>
      </c>
      <c r="N111" s="6">
        <f ca="1">N68/'Rate Class Customer Model'!H3</f>
        <v>12527922.725000001</v>
      </c>
      <c r="O111" s="26"/>
    </row>
    <row r="112" spans="1:15" x14ac:dyDescent="0.2">
      <c r="A112">
        <v>2013</v>
      </c>
      <c r="E112" s="6"/>
      <c r="H112" s="6">
        <f ca="1">H69/'Rate Class Customer Model'!B4</f>
        <v>8807.1113413240419</v>
      </c>
      <c r="I112" s="6">
        <f ca="1">I69/'Rate Class Customer Model'!C4</f>
        <v>23961.965213985761</v>
      </c>
      <c r="J112" s="6">
        <f ca="1">J69/'Rate Class Customer Model'!D4</f>
        <v>667261.88970411464</v>
      </c>
      <c r="K112" s="6">
        <f ca="1">K69/'Rate Class Customer Model'!E4</f>
        <v>894.94651837778792</v>
      </c>
      <c r="L112" s="6">
        <f ca="1">L69/'Rate Class Customer Model'!F4</f>
        <v>8406.354838709678</v>
      </c>
      <c r="M112" s="6">
        <f ca="1">M69/'Rate Class Customer Model'!G4</f>
        <v>25820.285714285714</v>
      </c>
      <c r="N112" s="6">
        <f ca="1">N69/'Rate Class Customer Model'!H4</f>
        <v>12452810.5</v>
      </c>
    </row>
    <row r="113" spans="1:14" x14ac:dyDescent="0.2">
      <c r="A113">
        <v>2014</v>
      </c>
      <c r="E113" s="45"/>
      <c r="H113" s="6">
        <f ca="1">H70/'Rate Class Customer Model'!B5</f>
        <v>8877.4455222133256</v>
      </c>
      <c r="I113" s="6">
        <f ca="1">I70/'Rate Class Customer Model'!C5</f>
        <v>24762.948061708681</v>
      </c>
      <c r="J113" s="6">
        <f ca="1">J70/'Rate Class Customer Model'!D5</f>
        <v>642560.62008804188</v>
      </c>
      <c r="K113" s="6">
        <f ca="1">K70/'Rate Class Customer Model'!E5</f>
        <v>817.25067672509431</v>
      </c>
      <c r="L113" s="6">
        <f ca="1">L70/'Rate Class Customer Model'!F5</f>
        <v>8376.677419354839</v>
      </c>
      <c r="M113" s="6">
        <f ca="1">M70/'Rate Class Customer Model'!G5</f>
        <v>25542.714285714286</v>
      </c>
      <c r="N113" s="6">
        <f ca="1">N70/'Rate Class Customer Model'!H5</f>
        <v>13257511.336513765</v>
      </c>
    </row>
    <row r="114" spans="1:14" x14ac:dyDescent="0.2">
      <c r="A114">
        <v>2015</v>
      </c>
      <c r="H114" s="6">
        <f ca="1">H71/'Rate Class Customer Model'!B6</f>
        <v>9009.6074206111425</v>
      </c>
      <c r="I114" s="6">
        <f ca="1">I71/'Rate Class Customer Model'!C6</f>
        <v>23786.962966898405</v>
      </c>
      <c r="J114" s="6">
        <f ca="1">J71/'Rate Class Customer Model'!D6</f>
        <v>679178.12221648614</v>
      </c>
      <c r="K114" s="6">
        <f ca="1">K71/'Rate Class Customer Model'!E6</f>
        <v>838.07266473416303</v>
      </c>
      <c r="L114" s="6">
        <f ca="1">L71/'Rate Class Customer Model'!F6</f>
        <v>8374.4193548387102</v>
      </c>
      <c r="M114" s="6">
        <f ca="1">M71/'Rate Class Customer Model'!G6</f>
        <v>23224.142857142859</v>
      </c>
      <c r="N114" s="6">
        <f ca="1">N71/'Rate Class Customer Model'!H6</f>
        <v>12448850.290000001</v>
      </c>
    </row>
    <row r="115" spans="1:14" x14ac:dyDescent="0.2">
      <c r="A115">
        <v>2016</v>
      </c>
      <c r="H115" s="6">
        <f ca="1">H72/'Rate Class Customer Model'!B7</f>
        <v>8730.8023048199866</v>
      </c>
      <c r="I115" s="6">
        <f ca="1">I72/'Rate Class Customer Model'!C7</f>
        <v>22713.224093923869</v>
      </c>
      <c r="J115" s="6">
        <f ca="1">J72/'Rate Class Customer Model'!D7</f>
        <v>622670.95437055139</v>
      </c>
      <c r="K115" s="6">
        <f ca="1">K72/'Rate Class Customer Model'!E7</f>
        <v>549.54821939173382</v>
      </c>
      <c r="L115" s="6">
        <f ca="1">L72/'Rate Class Customer Model'!F7</f>
        <v>8439.6935704514344</v>
      </c>
      <c r="M115" s="6">
        <f ca="1">M72/'Rate Class Customer Model'!G7</f>
        <v>13560.88235294118</v>
      </c>
      <c r="N115" s="6">
        <f ca="1">N72/'Rate Class Customer Model'!H7</f>
        <v>10494093.370827073</v>
      </c>
    </row>
    <row r="116" spans="1:14" x14ac:dyDescent="0.2">
      <c r="A116">
        <v>2017</v>
      </c>
      <c r="H116" s="6">
        <f ca="1">H73/'Rate Class Customer Model'!B8</f>
        <v>8639.483048884782</v>
      </c>
      <c r="I116" s="6">
        <f ca="1">I73/'Rate Class Customer Model'!C8</f>
        <v>22810.027804177284</v>
      </c>
      <c r="J116" s="6">
        <f ca="1">J73/'Rate Class Customer Model'!D8</f>
        <v>511768.69859924907</v>
      </c>
      <c r="K116" s="6">
        <f ca="1">K73/'Rate Class Customer Model'!E8</f>
        <v>464.39529331514325</v>
      </c>
      <c r="L116" s="6">
        <f ca="1">L73/'Rate Class Customer Model'!F8</f>
        <v>8364.6057298772193</v>
      </c>
      <c r="M116" s="6">
        <f ca="1">M73/'Rate Class Customer Model'!G8</f>
        <v>9500.2072538860102</v>
      </c>
      <c r="N116" s="6">
        <f ca="1">N73/'Rate Class Customer Model'!H8</f>
        <v>9473901.833333334</v>
      </c>
    </row>
    <row r="117" spans="1:14" x14ac:dyDescent="0.2">
      <c r="A117">
        <v>2018</v>
      </c>
      <c r="H117" s="6">
        <f ca="1">H74/'Rate Class Customer Model'!B9</f>
        <v>8640.323717942525</v>
      </c>
      <c r="I117" s="6">
        <f ca="1">I74/'Rate Class Customer Model'!C9</f>
        <v>22267.86335889166</v>
      </c>
      <c r="J117" s="6">
        <f ca="1">J74/'Rate Class Customer Model'!D9</f>
        <v>609010.27621135663</v>
      </c>
      <c r="K117" s="6">
        <f ca="1">K74/'Rate Class Customer Model'!E9</f>
        <v>456.33649916861577</v>
      </c>
      <c r="L117" s="6">
        <f ca="1">L74/'Rate Class Customer Model'!F9</f>
        <v>7898.8533685601078</v>
      </c>
      <c r="M117" s="6">
        <f ca="1">M74/'Rate Class Customer Model'!G9</f>
        <v>8797.5294117647063</v>
      </c>
      <c r="N117" s="6">
        <f ca="1">N74/'Rate Class Customer Model'!H9</f>
        <v>10280108.833333334</v>
      </c>
    </row>
    <row r="118" spans="1:14" x14ac:dyDescent="0.2">
      <c r="A118">
        <v>2019</v>
      </c>
      <c r="H118" s="6">
        <f ca="1">H75/'Rate Class Customer Model'!B10</f>
        <v>8733.2456233822013</v>
      </c>
      <c r="I118" s="6">
        <f ca="1">I75/'Rate Class Customer Model'!C10</f>
        <v>23006.571701094927</v>
      </c>
      <c r="J118" s="6">
        <f ca="1">J75/'Rate Class Customer Model'!D10</f>
        <v>629114.91307078872</v>
      </c>
      <c r="K118" s="6">
        <f ca="1">K75/'Rate Class Customer Model'!E10</f>
        <v>452.29155298179165</v>
      </c>
      <c r="L118" s="6">
        <f ca="1">L75/'Rate Class Customer Model'!F10</f>
        <v>7715.15625</v>
      </c>
      <c r="M118" s="6">
        <f ca="1">M75/'Rate Class Customer Model'!G10</f>
        <v>8509.2352941176468</v>
      </c>
      <c r="N118" s="6">
        <f ca="1">N75/'Rate Class Customer Model'!H10</f>
        <v>10111054.833333334</v>
      </c>
    </row>
    <row r="119" spans="1:14" x14ac:dyDescent="0.2">
      <c r="A119">
        <v>2020</v>
      </c>
      <c r="H119" s="6">
        <f ca="1">H76/'Rate Class Customer Model'!B11</f>
        <v>9199.9713367028435</v>
      </c>
      <c r="I119" s="6">
        <f ca="1">I76/'Rate Class Customer Model'!C11</f>
        <v>21394.679571023291</v>
      </c>
      <c r="J119" s="6">
        <f ca="1">J76/'Rate Class Customer Model'!D11</f>
        <v>539658.4354210993</v>
      </c>
      <c r="K119" s="6">
        <f ca="1">K76/'Rate Class Customer Model'!E11</f>
        <v>421.41591661423155</v>
      </c>
      <c r="L119" s="6">
        <f ca="1">L76/'Rate Class Customer Model'!F11</f>
        <v>7756.78125</v>
      </c>
      <c r="M119" s="6">
        <f ca="1">M76/'Rate Class Customer Model'!G11</f>
        <v>8352.823529411764</v>
      </c>
      <c r="N119" s="6">
        <f ca="1">N76/'Rate Class Customer Model'!H11</f>
        <v>8476578.166666666</v>
      </c>
    </row>
    <row r="120" spans="1:14" x14ac:dyDescent="0.2">
      <c r="A120">
        <v>2021</v>
      </c>
      <c r="H120" s="6">
        <f ca="1">H118*H$137^2</f>
        <v>8653.1667155694304</v>
      </c>
      <c r="I120" s="6">
        <f t="shared" ref="I120:J120" ca="1" si="31">I118*I$137^2</f>
        <v>22499.188168738732</v>
      </c>
      <c r="J120" s="6">
        <f t="shared" ca="1" si="31"/>
        <v>619152.03308527439</v>
      </c>
      <c r="K120" s="6">
        <f t="shared" ref="K120:M121" ca="1" si="32">K119*K$135</f>
        <v>421.41591661423155</v>
      </c>
      <c r="L120" s="6">
        <f t="shared" ca="1" si="32"/>
        <v>7756.78125</v>
      </c>
      <c r="M120" s="6">
        <f ca="1">M119*M$135</f>
        <v>8352.823529411764</v>
      </c>
      <c r="N120" s="6">
        <f>N33*N$135</f>
        <v>9622580.6111111119</v>
      </c>
    </row>
    <row r="121" spans="1:14" x14ac:dyDescent="0.2">
      <c r="A121">
        <v>2022</v>
      </c>
      <c r="D121" s="6"/>
      <c r="H121" s="6">
        <f ca="1">H120*H$137</f>
        <v>8613.4030382316305</v>
      </c>
      <c r="I121" s="6">
        <f ca="1">I120*I$137</f>
        <v>22249.708115665962</v>
      </c>
      <c r="J121" s="6">
        <f ca="1">J120*J$137</f>
        <v>614229.91603595368</v>
      </c>
      <c r="K121" s="6">
        <f t="shared" ca="1" si="32"/>
        <v>421.41591661423155</v>
      </c>
      <c r="L121" s="6">
        <f t="shared" ca="1" si="32"/>
        <v>7756.78125</v>
      </c>
      <c r="M121" s="6">
        <f t="shared" ca="1" si="32"/>
        <v>8352.823529411764</v>
      </c>
      <c r="N121" s="6">
        <f>N120*N$135</f>
        <v>9622580.6111111119</v>
      </c>
    </row>
    <row r="122" spans="1:14" x14ac:dyDescent="0.2">
      <c r="A122" s="3"/>
      <c r="D122" s="6"/>
      <c r="H122" s="11"/>
      <c r="I122" s="11"/>
      <c r="M122" s="9"/>
      <c r="N122" s="9"/>
    </row>
    <row r="123" spans="1:14" x14ac:dyDescent="0.2">
      <c r="A123" s="227" t="s">
        <v>208</v>
      </c>
      <c r="D123" s="6"/>
    </row>
    <row r="124" spans="1:14" x14ac:dyDescent="0.2">
      <c r="A124" s="27">
        <v>2012</v>
      </c>
      <c r="D124" s="6"/>
      <c r="H124" s="18">
        <f ca="1">H111/H110</f>
        <v>0.99427668854932316</v>
      </c>
      <c r="I124" s="18">
        <f t="shared" ref="I124:N124" ca="1" si="33">I111/I110</f>
        <v>0.96905381889272146</v>
      </c>
      <c r="J124" s="18">
        <f t="shared" ca="1" si="33"/>
        <v>1.021189708050904</v>
      </c>
      <c r="K124" s="18">
        <f t="shared" ca="1" si="33"/>
        <v>1.0416876518865756</v>
      </c>
      <c r="L124" s="18">
        <f t="shared" ca="1" si="33"/>
        <v>1.3414482998740209</v>
      </c>
      <c r="M124" s="18">
        <f t="shared" ca="1" si="33"/>
        <v>0.9675298008834825</v>
      </c>
      <c r="N124" s="18">
        <f t="shared" ca="1" si="33"/>
        <v>0.95015730384254815</v>
      </c>
    </row>
    <row r="125" spans="1:14" x14ac:dyDescent="0.2">
      <c r="A125" s="27">
        <v>2013</v>
      </c>
      <c r="D125" s="6"/>
      <c r="H125" s="18">
        <f t="shared" ref="H125:N132" ca="1" si="34">H112/H111</f>
        <v>0.97757061705503312</v>
      </c>
      <c r="I125" s="18">
        <f t="shared" ca="1" si="34"/>
        <v>0.98306535175453846</v>
      </c>
      <c r="J125" s="18">
        <f t="shared" ca="1" si="34"/>
        <v>0.97438189179893497</v>
      </c>
      <c r="K125" s="18">
        <f t="shared" ca="1" si="34"/>
        <v>1.0675364235394742</v>
      </c>
      <c r="L125" s="18">
        <f t="shared" ca="1" si="34"/>
        <v>1.0084693631688666</v>
      </c>
      <c r="M125" s="18">
        <f t="shared" ca="1" si="34"/>
        <v>1.0366916171957898</v>
      </c>
      <c r="N125" s="18">
        <f t="shared" ca="1" si="34"/>
        <v>0.99400441504559156</v>
      </c>
    </row>
    <row r="126" spans="1:14" x14ac:dyDescent="0.2">
      <c r="A126" s="27">
        <v>2014</v>
      </c>
      <c r="D126" s="6"/>
      <c r="H126" s="18">
        <f t="shared" ca="1" si="34"/>
        <v>1.0079860669592386</v>
      </c>
      <c r="I126" s="18">
        <f t="shared" ca="1" si="34"/>
        <v>1.0334272602672594</v>
      </c>
      <c r="J126" s="18">
        <f t="shared" ca="1" si="34"/>
        <v>0.96298114728682305</v>
      </c>
      <c r="K126" s="18">
        <f t="shared" ca="1" si="34"/>
        <v>0.91318381595189857</v>
      </c>
      <c r="L126" s="18">
        <f t="shared" ca="1" si="34"/>
        <v>0.99646964470043775</v>
      </c>
      <c r="M126" s="18">
        <f t="shared" ca="1" si="34"/>
        <v>0.98924986998041409</v>
      </c>
      <c r="N126" s="18">
        <f t="shared" ca="1" si="34"/>
        <v>1.0646200178276033</v>
      </c>
    </row>
    <row r="127" spans="1:14" x14ac:dyDescent="0.2">
      <c r="A127" s="27">
        <v>2015</v>
      </c>
      <c r="D127" s="6"/>
      <c r="H127" s="18">
        <f t="shared" ca="1" si="34"/>
        <v>1.0148873792654789</v>
      </c>
      <c r="I127" s="18">
        <f t="shared" ca="1" si="34"/>
        <v>0.96058687792834097</v>
      </c>
      <c r="J127" s="18">
        <f t="shared" ca="1" si="34"/>
        <v>1.0569868444839134</v>
      </c>
      <c r="K127" s="18">
        <f t="shared" ca="1" si="34"/>
        <v>1.0254780920983841</v>
      </c>
      <c r="L127" s="18">
        <f t="shared" ca="1" si="34"/>
        <v>0.99973043434728526</v>
      </c>
      <c r="M127" s="18">
        <f t="shared" ca="1" si="34"/>
        <v>0.90922768024429668</v>
      </c>
      <c r="N127" s="18">
        <f t="shared" ca="1" si="34"/>
        <v>0.93900355609830377</v>
      </c>
    </row>
    <row r="128" spans="1:14" x14ac:dyDescent="0.2">
      <c r="A128" s="27">
        <v>2016</v>
      </c>
      <c r="D128" s="6"/>
      <c r="H128" s="18">
        <f t="shared" ca="1" si="34"/>
        <v>0.96905468764894931</v>
      </c>
      <c r="I128" s="18">
        <f t="shared" ca="1" si="34"/>
        <v>0.95486019486940243</v>
      </c>
      <c r="J128" s="18">
        <f t="shared" ca="1" si="34"/>
        <v>0.91680066539610472</v>
      </c>
      <c r="K128" s="18">
        <f t="shared" ca="1" si="34"/>
        <v>0.65572860506797548</v>
      </c>
      <c r="L128" s="18">
        <f t="shared" ca="1" si="34"/>
        <v>1.007794476589593</v>
      </c>
      <c r="M128" s="18">
        <f t="shared" ca="1" si="34"/>
        <v>0.58391314746715706</v>
      </c>
      <c r="N128" s="18">
        <f t="shared" ca="1" si="34"/>
        <v>0.84297691163149757</v>
      </c>
    </row>
    <row r="129" spans="1:14" x14ac:dyDescent="0.2">
      <c r="A129" s="27">
        <v>2017</v>
      </c>
      <c r="D129" s="6"/>
      <c r="H129" s="18">
        <f t="shared" ca="1" si="34"/>
        <v>0.98954056537452573</v>
      </c>
      <c r="I129" s="18">
        <f t="shared" ca="1" si="34"/>
        <v>1.0042619977618814</v>
      </c>
      <c r="J129" s="18">
        <f t="shared" ca="1" si="34"/>
        <v>0.82189267864050009</v>
      </c>
      <c r="K129" s="18">
        <f t="shared" ca="1" si="34"/>
        <v>0.84504921848197068</v>
      </c>
      <c r="L129" s="18">
        <f t="shared" ca="1" si="34"/>
        <v>0.99110301340357798</v>
      </c>
      <c r="M129" s="18">
        <f t="shared" ca="1" si="34"/>
        <v>0.70055966910040612</v>
      </c>
      <c r="N129" s="18">
        <f t="shared" ca="1" si="34"/>
        <v>0.90278421380070728</v>
      </c>
    </row>
    <row r="130" spans="1:14" x14ac:dyDescent="0.2">
      <c r="A130" s="27">
        <v>2018</v>
      </c>
      <c r="D130" s="6"/>
      <c r="H130" s="18">
        <f t="shared" ca="1" si="34"/>
        <v>1.0000973054814724</v>
      </c>
      <c r="I130" s="18">
        <f t="shared" ca="1" si="34"/>
        <v>0.97623131151175824</v>
      </c>
      <c r="J130" s="18">
        <f t="shared" ca="1" si="34"/>
        <v>1.1900107956548835</v>
      </c>
      <c r="K130" s="18">
        <f t="shared" ca="1" si="34"/>
        <v>0.98264669288743478</v>
      </c>
      <c r="L130" s="18">
        <f t="shared" ca="1" si="34"/>
        <v>0.94431867127299163</v>
      </c>
      <c r="M130" s="18">
        <f t="shared" ca="1" si="34"/>
        <v>0.92603552497932329</v>
      </c>
      <c r="N130" s="18">
        <f t="shared" ca="1" si="34"/>
        <v>1.0850976729739177</v>
      </c>
    </row>
    <row r="131" spans="1:14" x14ac:dyDescent="0.2">
      <c r="A131" s="27">
        <v>2019</v>
      </c>
      <c r="D131" s="6"/>
      <c r="H131" s="18">
        <f t="shared" ca="1" si="34"/>
        <v>1.0107544472259429</v>
      </c>
      <c r="I131" s="18">
        <f t="shared" ca="1" si="34"/>
        <v>1.0331737414720708</v>
      </c>
      <c r="J131" s="18">
        <f t="shared" ca="1" si="34"/>
        <v>1.033011982957829</v>
      </c>
      <c r="K131" s="18">
        <f t="shared" ca="1" si="34"/>
        <v>0.99113604501460328</v>
      </c>
      <c r="L131" s="18">
        <f t="shared" ca="1" si="34"/>
        <v>0.97674382470609222</v>
      </c>
      <c r="M131" s="18">
        <f t="shared" ca="1" si="34"/>
        <v>0.96723010470854109</v>
      </c>
      <c r="N131" s="18">
        <f t="shared" ca="1" si="34"/>
        <v>0.98355523246487031</v>
      </c>
    </row>
    <row r="132" spans="1:14" x14ac:dyDescent="0.2">
      <c r="A132" s="27">
        <v>2020</v>
      </c>
      <c r="D132" s="6"/>
      <c r="H132" s="18">
        <f t="shared" ca="1" si="34"/>
        <v>1.0534424122998489</v>
      </c>
      <c r="I132" s="18">
        <f t="shared" ca="1" si="34"/>
        <v>0.92993775209042018</v>
      </c>
      <c r="J132" s="18">
        <f t="shared" ca="1" si="34"/>
        <v>0.85780582244817383</v>
      </c>
      <c r="K132" s="18">
        <f t="shared" ca="1" si="34"/>
        <v>0.93173510280258742</v>
      </c>
      <c r="L132" s="18">
        <f t="shared" ca="1" si="34"/>
        <v>1.0053952244972355</v>
      </c>
      <c r="M132" s="18">
        <f t="shared" ca="1" si="34"/>
        <v>0.98161858741713148</v>
      </c>
      <c r="N132" s="18">
        <f t="shared" ca="1" si="34"/>
        <v>0.83834756179164871</v>
      </c>
    </row>
    <row r="133" spans="1:14" x14ac:dyDescent="0.2">
      <c r="A133" s="27"/>
      <c r="D133" s="6"/>
      <c r="H133" s="18"/>
      <c r="I133" s="18"/>
      <c r="J133" s="18"/>
      <c r="K133" s="18"/>
      <c r="L133" s="18"/>
      <c r="M133" s="18"/>
      <c r="N133" s="18"/>
    </row>
    <row r="134" spans="1:14" x14ac:dyDescent="0.2">
      <c r="A134" s="3"/>
      <c r="D134" s="6"/>
      <c r="E134" s="6"/>
      <c r="F134" s="6"/>
    </row>
    <row r="135" spans="1:14" x14ac:dyDescent="0.2">
      <c r="A135" t="s">
        <v>13</v>
      </c>
      <c r="D135" s="6"/>
      <c r="H135" s="18">
        <f ca="1">H137</f>
        <v>0.99540472538611169</v>
      </c>
      <c r="I135" s="18">
        <f ca="1">I137</f>
        <v>0.98891159755624392</v>
      </c>
      <c r="J135" s="18">
        <f ca="1">J137</f>
        <v>0.99205022872202575</v>
      </c>
      <c r="K135" s="18">
        <v>1</v>
      </c>
      <c r="L135" s="18">
        <v>1</v>
      </c>
      <c r="M135" s="18">
        <v>1</v>
      </c>
      <c r="N135" s="18">
        <v>1</v>
      </c>
    </row>
    <row r="136" spans="1:14" x14ac:dyDescent="0.2">
      <c r="A136" s="3"/>
      <c r="D136" s="6"/>
      <c r="H136" s="11"/>
      <c r="I136" s="11"/>
      <c r="M136" s="9"/>
      <c r="N136" s="9"/>
    </row>
    <row r="137" spans="1:14" x14ac:dyDescent="0.2">
      <c r="A137" t="s">
        <v>10</v>
      </c>
      <c r="D137" s="6"/>
      <c r="H137" s="18">
        <f ca="1">GEOMEAN(H124:H131)</f>
        <v>0.99540472538611169</v>
      </c>
      <c r="I137" s="18">
        <f ca="1">GEOMEAN(I124:I131)</f>
        <v>0.98891159755624392</v>
      </c>
      <c r="J137" s="18">
        <f ca="1">GEOMEAN(J124:J131)</f>
        <v>0.99205022872202575</v>
      </c>
      <c r="K137" s="18">
        <f ca="1">GEOMEAN(K124:K132)</f>
        <v>0.93063967472163467</v>
      </c>
      <c r="L137" s="18">
        <f ca="1">GEOMEAN(L124:L132)</f>
        <v>1.0249464223332188</v>
      </c>
      <c r="M137" s="18">
        <f ca="1">GEOMEAN(M124:M132)</f>
        <v>0.88244440838864424</v>
      </c>
      <c r="N137" s="18">
        <f ca="1">GEOMEAN(N124:N132)</f>
        <v>0.9520985214271116</v>
      </c>
    </row>
    <row r="138" spans="1:14" x14ac:dyDescent="0.2">
      <c r="H138" s="233">
        <f ca="1">GEOMEAN(H124:H131)-1</f>
        <v>-4.5952746138883116E-3</v>
      </c>
      <c r="I138" s="233">
        <f t="shared" ref="I138:N138" ca="1" si="35">GEOMEAN(I124:I131)-1</f>
        <v>-1.1088402443756085E-2</v>
      </c>
      <c r="J138" s="233">
        <f t="shared" ca="1" si="35"/>
        <v>-7.9497712779742491E-3</v>
      </c>
      <c r="K138" s="233">
        <f t="shared" ca="1" si="35"/>
        <v>-6.949716320337751E-2</v>
      </c>
      <c r="L138" s="233">
        <f t="shared" ca="1" si="35"/>
        <v>2.7416904484010907E-2</v>
      </c>
      <c r="M138" s="233">
        <f t="shared" ca="1" si="35"/>
        <v>-0.12922604986157427</v>
      </c>
      <c r="N138" s="233">
        <f t="shared" ca="1" si="35"/>
        <v>-3.2637798502518134E-2</v>
      </c>
    </row>
    <row r="139" spans="1:14" x14ac:dyDescent="0.2">
      <c r="H139" s="233">
        <f ca="1">GEOMEAN(H124:H132)-1</f>
        <v>1.6921374721805549E-3</v>
      </c>
      <c r="I139" s="233">
        <f t="shared" ref="I139:N139" ca="1" si="36">GEOMEAN(I124:I132)-1</f>
        <v>-1.7821542273970592E-2</v>
      </c>
      <c r="J139" s="233">
        <f t="shared" ca="1" si="36"/>
        <v>-2.384768870010745E-2</v>
      </c>
      <c r="K139" s="233">
        <f t="shared" ca="1" si="36"/>
        <v>-6.9360325278365331E-2</v>
      </c>
      <c r="L139" s="233">
        <f t="shared" ca="1" si="36"/>
        <v>2.4946422333218754E-2</v>
      </c>
      <c r="M139" s="233">
        <f t="shared" ca="1" si="36"/>
        <v>-0.11755559161135576</v>
      </c>
      <c r="N139" s="233">
        <f t="shared" ca="1" si="36"/>
        <v>-4.7901478572888401E-2</v>
      </c>
    </row>
  </sheetData>
  <pageMargins left="0.38" right="0.75" top="0.73" bottom="0.74" header="0.5" footer="0.5"/>
  <pageSetup scale="89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N56"/>
  <sheetViews>
    <sheetView zoomScaleNormal="100" workbookViewId="0">
      <pane xSplit="1" ySplit="1" topLeftCell="B2" activePane="bottomRight" state="frozen"/>
      <selection activeCell="E13" sqref="E13"/>
      <selection pane="topRight" activeCell="E13" sqref="E13"/>
      <selection pane="bottomLeft" activeCell="E13" sqref="E13"/>
      <selection pane="bottomRight" activeCell="J11" sqref="J11"/>
    </sheetView>
  </sheetViews>
  <sheetFormatPr defaultRowHeight="12.75" x14ac:dyDescent="0.2"/>
  <cols>
    <col min="1" max="1" width="13.7109375" customWidth="1"/>
    <col min="2" max="2" width="14.140625" style="6" bestFit="1" customWidth="1"/>
    <col min="3" max="3" width="14.140625" style="6" customWidth="1"/>
    <col min="4" max="5" width="17.7109375" style="6" customWidth="1"/>
    <col min="6" max="7" width="12.7109375" style="6" bestFit="1" customWidth="1"/>
    <col min="8" max="8" width="11.7109375" style="6" bestFit="1" customWidth="1"/>
    <col min="9" max="9" width="7.5703125" style="6" customWidth="1"/>
    <col min="10" max="10" width="10.140625" style="6" bestFit="1" customWidth="1"/>
    <col min="11" max="11" width="11.28515625" style="6" customWidth="1"/>
    <col min="13" max="13" width="15.42578125" bestFit="1" customWidth="1"/>
  </cols>
  <sheetData>
    <row r="1" spans="1:14" ht="42" customHeight="1" x14ac:dyDescent="0.2">
      <c r="B1" s="7" t="str">
        <f>'Rate Class Customer Model'!D1</f>
        <v>GS&gt;50</v>
      </c>
      <c r="C1" s="7" t="str">
        <f>'Rate Class Customer Model'!E1</f>
        <v>Streetlights</v>
      </c>
      <c r="D1" s="7" t="str">
        <f>'Rate Class Customer Model'!G1</f>
        <v>Sentinel Lights</v>
      </c>
      <c r="E1" s="7" t="str">
        <f>'Rate Class Customer Model'!H1</f>
        <v>Embedded Distributor</v>
      </c>
      <c r="F1" s="6" t="s">
        <v>7</v>
      </c>
      <c r="I1"/>
      <c r="J1" s="7" t="str">
        <f>B1</f>
        <v>GS&gt;50</v>
      </c>
      <c r="K1" s="7" t="str">
        <f>C1</f>
        <v>Streetlights</v>
      </c>
      <c r="L1" s="7" t="str">
        <f>D1</f>
        <v>Sentinel Lights</v>
      </c>
      <c r="M1" s="7" t="str">
        <f>E1</f>
        <v>Embedded Distributor</v>
      </c>
      <c r="N1" s="6" t="s">
        <v>7</v>
      </c>
    </row>
    <row r="2" spans="1:14" x14ac:dyDescent="0.2">
      <c r="A2" s="23">
        <v>2011</v>
      </c>
      <c r="B2" s="82">
        <v>195460.9</v>
      </c>
      <c r="C2" s="82">
        <v>5760</v>
      </c>
      <c r="D2" s="82">
        <v>11.893937007874015</v>
      </c>
      <c r="E2" s="81">
        <v>113910.59999999999</v>
      </c>
      <c r="F2" s="6">
        <f t="shared" ref="F2:F13" si="0">SUM(B2:E2)</f>
        <v>315143.39393700787</v>
      </c>
      <c r="I2" s="23">
        <v>2011</v>
      </c>
      <c r="J2" s="82">
        <f ca="1">'Rate Class Energy Model (WN)'!J67*B17</f>
        <v>192735.02370701195</v>
      </c>
      <c r="K2" s="82">
        <f ca="1">'Rate Class Energy Model (WN)'!K67*C17</f>
        <v>5760</v>
      </c>
      <c r="L2" s="82">
        <f ca="1">'Rate Class Energy Model (WN)'!M67*D17</f>
        <v>11.893937007874017</v>
      </c>
      <c r="M2" s="82">
        <f ca="1">'Rate Class Energy Model (WN)'!N67*E17</f>
        <v>113910.59999999999</v>
      </c>
      <c r="N2" s="6">
        <f t="shared" ref="N2:N13" ca="1" si="1">SUM(J2:M2)</f>
        <v>312417.5176440198</v>
      </c>
    </row>
    <row r="3" spans="1:14" x14ac:dyDescent="0.2">
      <c r="A3" s="23">
        <f>A2+1</f>
        <v>2012</v>
      </c>
      <c r="B3" s="82">
        <v>186873.8</v>
      </c>
      <c r="C3" s="82">
        <v>6353.7</v>
      </c>
      <c r="D3" s="82">
        <v>293.2</v>
      </c>
      <c r="E3" s="81">
        <v>111193.80000000002</v>
      </c>
      <c r="F3" s="6">
        <f t="shared" si="0"/>
        <v>304714.5</v>
      </c>
      <c r="I3" s="23">
        <f>I2+1</f>
        <v>2012</v>
      </c>
      <c r="J3" s="82">
        <f ca="1">'Rate Class Energy Model (WN)'!J68*B18</f>
        <v>186739.26855493523</v>
      </c>
      <c r="K3" s="82">
        <f ca="1">'Rate Class Energy Model (WN)'!K68*C18</f>
        <v>6353.7</v>
      </c>
      <c r="L3" s="82">
        <f ca="1">'Rate Class Energy Model (WN)'!M68*D18</f>
        <v>293.2</v>
      </c>
      <c r="M3" s="82">
        <f ca="1">'Rate Class Energy Model (WN)'!N68*E18</f>
        <v>111193.80000000002</v>
      </c>
      <c r="N3" s="6">
        <f t="shared" ca="1" si="1"/>
        <v>304579.9685549353</v>
      </c>
    </row>
    <row r="4" spans="1:14" x14ac:dyDescent="0.2">
      <c r="A4" s="23">
        <f t="shared" ref="A4:A13" si="2">A3+1</f>
        <v>2013</v>
      </c>
      <c r="B4" s="82">
        <v>181892.6</v>
      </c>
      <c r="C4" s="82">
        <v>6799.3</v>
      </c>
      <c r="D4" s="82">
        <v>464.7</v>
      </c>
      <c r="E4" s="81">
        <v>110634.70000000001</v>
      </c>
      <c r="F4" s="6">
        <f t="shared" si="0"/>
        <v>299791.30000000005</v>
      </c>
      <c r="I4" s="23">
        <f t="shared" ref="I4:I13" si="3">I3+1</f>
        <v>2013</v>
      </c>
      <c r="J4" s="82">
        <f ca="1">'Rate Class Energy Model (WN)'!J69*B19</f>
        <v>181936.64948484098</v>
      </c>
      <c r="K4" s="82">
        <f ca="1">'Rate Class Energy Model (WN)'!K69*C19</f>
        <v>6799.3</v>
      </c>
      <c r="L4" s="82">
        <f ca="1">'Rate Class Energy Model (WN)'!M69*D19</f>
        <v>464.7</v>
      </c>
      <c r="M4" s="82">
        <f ca="1">'Rate Class Energy Model (WN)'!N69*E19</f>
        <v>110634.7</v>
      </c>
      <c r="N4" s="6">
        <f t="shared" ca="1" si="1"/>
        <v>299835.34948484099</v>
      </c>
    </row>
    <row r="5" spans="1:14" x14ac:dyDescent="0.2">
      <c r="A5" s="23">
        <f t="shared" si="2"/>
        <v>2014</v>
      </c>
      <c r="B5" s="82">
        <v>186325.9</v>
      </c>
      <c r="C5" s="82">
        <v>6450</v>
      </c>
      <c r="D5" s="82">
        <v>471.2</v>
      </c>
      <c r="E5" s="81">
        <v>134312.81999999998</v>
      </c>
      <c r="F5" s="6">
        <f t="shared" si="0"/>
        <v>327559.92</v>
      </c>
      <c r="I5" s="23">
        <f t="shared" si="3"/>
        <v>2014</v>
      </c>
      <c r="J5" s="82">
        <f ca="1">'Rate Class Energy Model (WN)'!J70*B20</f>
        <v>187898.72570546952</v>
      </c>
      <c r="K5" s="82">
        <f ca="1">'Rate Class Energy Model (WN)'!K70*C20</f>
        <v>6450</v>
      </c>
      <c r="L5" s="82">
        <f ca="1">'Rate Class Energy Model (WN)'!M70*D20</f>
        <v>471.20000000000005</v>
      </c>
      <c r="M5" s="82">
        <f ca="1">'Rate Class Energy Model (WN)'!N70*E20</f>
        <v>134312.81999999998</v>
      </c>
      <c r="N5" s="6">
        <f t="shared" ca="1" si="1"/>
        <v>329132.74570546951</v>
      </c>
    </row>
    <row r="6" spans="1:14" x14ac:dyDescent="0.2">
      <c r="A6" s="23">
        <f t="shared" si="2"/>
        <v>2015</v>
      </c>
      <c r="B6" s="82">
        <v>195327.7</v>
      </c>
      <c r="C6" s="82">
        <v>6398.1</v>
      </c>
      <c r="D6" s="82">
        <v>436.7</v>
      </c>
      <c r="E6" s="81">
        <v>135969</v>
      </c>
      <c r="F6" s="6">
        <f t="shared" si="0"/>
        <v>338131.5</v>
      </c>
      <c r="I6" s="23">
        <f t="shared" si="3"/>
        <v>2015</v>
      </c>
      <c r="J6" s="82">
        <f ca="1">'Rate Class Energy Model (WN)'!J71*B21</f>
        <v>197400.11156552398</v>
      </c>
      <c r="K6" s="82">
        <f ca="1">'Rate Class Energy Model (WN)'!K71*C21</f>
        <v>6398.1</v>
      </c>
      <c r="L6" s="82">
        <f ca="1">'Rate Class Energy Model (WN)'!M71*D21</f>
        <v>436.69999999999993</v>
      </c>
      <c r="M6" s="82">
        <f ca="1">'Rate Class Energy Model (WN)'!N71*E21</f>
        <v>135969</v>
      </c>
      <c r="N6" s="6">
        <f t="shared" ca="1" si="1"/>
        <v>340203.911565524</v>
      </c>
    </row>
    <row r="7" spans="1:14" x14ac:dyDescent="0.2">
      <c r="A7" s="23">
        <f t="shared" si="2"/>
        <v>2016</v>
      </c>
      <c r="B7" s="82">
        <v>199544.7</v>
      </c>
      <c r="C7" s="82">
        <v>4764.1000000000004</v>
      </c>
      <c r="D7" s="82">
        <v>411</v>
      </c>
      <c r="E7" s="81">
        <v>132941.97</v>
      </c>
      <c r="F7" s="6">
        <f t="shared" si="0"/>
        <v>337661.77</v>
      </c>
      <c r="I7" s="23">
        <f t="shared" si="3"/>
        <v>2016</v>
      </c>
      <c r="J7" s="82">
        <f ca="1">'Rate Class Energy Model (WN)'!J72*B22</f>
        <v>197609.20246627729</v>
      </c>
      <c r="K7" s="82">
        <f ca="1">'Rate Class Energy Model (WN)'!K72*C22</f>
        <v>4764.1000000000004</v>
      </c>
      <c r="L7" s="82">
        <f ca="1">'Rate Class Energy Model (WN)'!M72*D22</f>
        <v>411</v>
      </c>
      <c r="M7" s="82">
        <f ca="1">'Rate Class Energy Model (WN)'!N72*E22</f>
        <v>132941.97</v>
      </c>
      <c r="N7" s="6">
        <f t="shared" ca="1" si="1"/>
        <v>335726.2724662773</v>
      </c>
    </row>
    <row r="8" spans="1:14" x14ac:dyDescent="0.2">
      <c r="A8" s="23">
        <f t="shared" si="2"/>
        <v>2017</v>
      </c>
      <c r="B8" s="82">
        <v>170951.7</v>
      </c>
      <c r="C8" s="82">
        <v>3705.5</v>
      </c>
      <c r="D8" s="82">
        <v>405</v>
      </c>
      <c r="E8" s="81">
        <v>130521.77</v>
      </c>
      <c r="F8" s="6">
        <f t="shared" si="0"/>
        <v>305583.97000000003</v>
      </c>
      <c r="I8" s="23">
        <f t="shared" si="3"/>
        <v>2017</v>
      </c>
      <c r="J8" s="82">
        <f ca="1">'Rate Class Energy Model (WN)'!J73*B23</f>
        <v>175467.61553284197</v>
      </c>
      <c r="K8" s="82">
        <f ca="1">'Rate Class Energy Model (WN)'!K73*C23</f>
        <v>3705.5</v>
      </c>
      <c r="L8" s="82">
        <f ca="1">'Rate Class Energy Model (WN)'!M73*D23</f>
        <v>405</v>
      </c>
      <c r="M8" s="82">
        <f ca="1">'Rate Class Energy Model (WN)'!N73*E23</f>
        <v>130521.76999999999</v>
      </c>
      <c r="N8" s="6">
        <f t="shared" ca="1" si="1"/>
        <v>310099.88553284196</v>
      </c>
    </row>
    <row r="9" spans="1:14" x14ac:dyDescent="0.2">
      <c r="A9" s="23">
        <f t="shared" si="2"/>
        <v>2018</v>
      </c>
      <c r="B9" s="82">
        <v>183114.09999999998</v>
      </c>
      <c r="C9" s="82">
        <v>3920.2</v>
      </c>
      <c r="D9" s="82">
        <v>387</v>
      </c>
      <c r="E9" s="81">
        <v>145229</v>
      </c>
      <c r="F9" s="6">
        <f t="shared" si="0"/>
        <v>332650.3</v>
      </c>
      <c r="I9" s="23">
        <f t="shared" si="3"/>
        <v>2018</v>
      </c>
      <c r="J9" s="82">
        <f ca="1">'Rate Class Energy Model (WN)'!J74*B24</f>
        <v>177896.42013647538</v>
      </c>
      <c r="K9" s="82">
        <f ca="1">'Rate Class Energy Model (WN)'!K74*C24</f>
        <v>3920.2</v>
      </c>
      <c r="L9" s="82">
        <f ca="1">'Rate Class Energy Model (WN)'!M74*D24</f>
        <v>387</v>
      </c>
      <c r="M9" s="82">
        <f ca="1">'Rate Class Energy Model (WN)'!N74*E24</f>
        <v>145229</v>
      </c>
      <c r="N9" s="6">
        <f t="shared" ca="1" si="1"/>
        <v>327432.62013647542</v>
      </c>
    </row>
    <row r="10" spans="1:14" x14ac:dyDescent="0.2">
      <c r="A10" s="23">
        <f t="shared" si="2"/>
        <v>2019</v>
      </c>
      <c r="B10" s="82">
        <v>211571.90000000002</v>
      </c>
      <c r="C10" s="82">
        <v>3756.2</v>
      </c>
      <c r="D10" s="82">
        <v>364.9</v>
      </c>
      <c r="E10" s="81">
        <v>139223.70000000001</v>
      </c>
      <c r="F10" s="6">
        <f t="shared" si="0"/>
        <v>354916.70000000007</v>
      </c>
      <c r="I10" s="23">
        <f t="shared" si="3"/>
        <v>2019</v>
      </c>
      <c r="J10" s="82">
        <f ca="1">'Rate Class Energy Model (WN)'!J75*B25</f>
        <v>212231.46421000647</v>
      </c>
      <c r="K10" s="82">
        <f ca="1">'Rate Class Energy Model (WN)'!K75*C25</f>
        <v>3756.2</v>
      </c>
      <c r="L10" s="82">
        <f ca="1">'Rate Class Energy Model (WN)'!M75*D25</f>
        <v>364.9</v>
      </c>
      <c r="M10" s="82">
        <f ca="1">'Rate Class Energy Model (WN)'!N75*E25</f>
        <v>139223.70000000001</v>
      </c>
      <c r="N10" s="6">
        <f t="shared" ca="1" si="1"/>
        <v>355576.26421000645</v>
      </c>
    </row>
    <row r="11" spans="1:14" x14ac:dyDescent="0.2">
      <c r="A11" s="23">
        <f t="shared" si="2"/>
        <v>2020</v>
      </c>
      <c r="B11" s="81">
        <v>202255.6</v>
      </c>
      <c r="C11" s="81">
        <v>3927.6</v>
      </c>
      <c r="D11" s="81">
        <v>385.1</v>
      </c>
      <c r="E11" s="81">
        <v>142149</v>
      </c>
      <c r="F11" s="6">
        <f t="shared" si="0"/>
        <v>348717.30000000005</v>
      </c>
      <c r="I11" s="23">
        <f t="shared" si="3"/>
        <v>2020</v>
      </c>
      <c r="J11" s="82">
        <f ca="1">'Rate Class Energy Model (WN)'!J76*B26</f>
        <v>203593.11499768932</v>
      </c>
      <c r="K11" s="82">
        <f ca="1">'Rate Class Energy Model (WN)'!K76*C26</f>
        <v>3927.6</v>
      </c>
      <c r="L11" s="82">
        <f ca="1">'Rate Class Energy Model (WN)'!M76*D26</f>
        <v>385.1</v>
      </c>
      <c r="M11" s="82">
        <f ca="1">'Rate Class Energy Model (WN)'!N76*E26</f>
        <v>142149</v>
      </c>
      <c r="N11" s="6">
        <f t="shared" ca="1" si="1"/>
        <v>350054.81499768933</v>
      </c>
    </row>
    <row r="12" spans="1:14" x14ac:dyDescent="0.2">
      <c r="A12" s="217">
        <f t="shared" si="2"/>
        <v>2021</v>
      </c>
      <c r="B12" s="218">
        <f ca="1">'Rate Class Energy Model'!J42*'Rate Class Load Model'!B28</f>
        <v>197786.29357600864</v>
      </c>
      <c r="C12" s="218">
        <f ca="1">'Rate Class Energy Model'!K42*'Rate Class Load Model'!C28</f>
        <v>3750.2293895492976</v>
      </c>
      <c r="D12" s="218">
        <f ca="1">'Rate Class Energy Model'!M42*'Rate Class Load Model'!D28</f>
        <v>373.36892505516897</v>
      </c>
      <c r="E12" s="218">
        <f ca="1">'Rate Class Energy Model'!N42*'Rate Class Load Model'!E28</f>
        <v>138871.65621307146</v>
      </c>
      <c r="F12" s="219">
        <f t="shared" ca="1" si="0"/>
        <v>340781.54810368456</v>
      </c>
      <c r="H12"/>
      <c r="I12" s="217">
        <f t="shared" si="3"/>
        <v>2021</v>
      </c>
      <c r="J12" s="218">
        <f ca="1">B28*'Rate Class Energy Model'!J42</f>
        <v>197786.29357600864</v>
      </c>
      <c r="K12" s="218">
        <f ca="1">C28*'Rate Class Energy Model'!K42</f>
        <v>3750.2293895492976</v>
      </c>
      <c r="L12" s="218">
        <f ca="1">D28*'Rate Class Energy Model'!M42</f>
        <v>373.36892505516897</v>
      </c>
      <c r="M12" s="218">
        <f ca="1">E28*'Rate Class Energy Model'!N42</f>
        <v>138871.65621307146</v>
      </c>
      <c r="N12" s="219">
        <f t="shared" ca="1" si="1"/>
        <v>340781.54810368456</v>
      </c>
    </row>
    <row r="13" spans="1:14" x14ac:dyDescent="0.2">
      <c r="A13" s="217">
        <f t="shared" si="2"/>
        <v>2022</v>
      </c>
      <c r="B13" s="218">
        <f ca="1">'Rate Class Energy Model'!J43*'Rate Class Load Model'!B28</f>
        <v>199000.38857386931</v>
      </c>
      <c r="C13" s="218">
        <f ca="1">'Rate Class Energy Model'!K43*'Rate Class Load Model'!C28</f>
        <v>3787.01916987</v>
      </c>
      <c r="D13" s="218">
        <f ca="1">'Rate Class Energy Model'!M43*'Rate Class Load Model'!D28</f>
        <v>373.36892505516897</v>
      </c>
      <c r="E13" s="218">
        <f ca="1">'Rate Class Energy Model'!N43*'Rate Class Load Model'!E28</f>
        <v>138871.65621307146</v>
      </c>
      <c r="F13" s="219">
        <f t="shared" ca="1" si="0"/>
        <v>342032.43288186594</v>
      </c>
      <c r="I13" s="217">
        <f t="shared" si="3"/>
        <v>2022</v>
      </c>
      <c r="J13" s="218">
        <f ca="1">B28*'Rate Class Energy Model'!J43</f>
        <v>199000.38857386931</v>
      </c>
      <c r="K13" s="218">
        <f ca="1">C28*'Rate Class Energy Model'!K43</f>
        <v>3787.01916987</v>
      </c>
      <c r="L13" s="218">
        <f ca="1">D28*'Rate Class Energy Model'!M43</f>
        <v>373.36892505516897</v>
      </c>
      <c r="M13" s="218">
        <f ca="1">E28*'Rate Class Energy Model'!N43</f>
        <v>138871.65621307146</v>
      </c>
      <c r="N13" s="219">
        <f t="shared" ca="1" si="1"/>
        <v>342032.43288186594</v>
      </c>
    </row>
    <row r="14" spans="1:14" x14ac:dyDescent="0.2">
      <c r="A14" s="14"/>
    </row>
    <row r="15" spans="1:14" x14ac:dyDescent="0.2">
      <c r="A15" s="13" t="s">
        <v>34</v>
      </c>
      <c r="B15" s="5"/>
      <c r="C15" s="5"/>
      <c r="D15" s="5"/>
      <c r="E15" s="5"/>
      <c r="J15" s="213" t="s">
        <v>76</v>
      </c>
    </row>
    <row r="16" spans="1:14" x14ac:dyDescent="0.2">
      <c r="A16" s="4"/>
      <c r="B16" s="21"/>
      <c r="C16" s="21"/>
      <c r="D16" s="21"/>
      <c r="E16" s="5"/>
      <c r="L16" s="46"/>
    </row>
    <row r="17" spans="1:12" x14ac:dyDescent="0.2">
      <c r="A17" s="4">
        <f>A2</f>
        <v>2011</v>
      </c>
      <c r="B17" s="21">
        <f>B2/'Rate Class Energy Model'!J5</f>
        <v>3.0386825964663017E-3</v>
      </c>
      <c r="C17" s="21">
        <f>C2/'Rate Class Energy Model'!K5</f>
        <v>2.5654341596466116E-3</v>
      </c>
      <c r="D17" s="21">
        <f>D2/'Rate Class Energy Model'!M5</f>
        <v>6.6005555105962487E-5</v>
      </c>
      <c r="E17" s="21">
        <f>E2/'Rate Class Energy Model'!N5</f>
        <v>2.1598350929939772E-3</v>
      </c>
      <c r="H17" s="21"/>
      <c r="I17" s="21"/>
      <c r="J17" s="21"/>
      <c r="K17" s="21"/>
      <c r="L17" s="46"/>
    </row>
    <row r="18" spans="1:12" x14ac:dyDescent="0.2">
      <c r="A18" s="4">
        <f t="shared" ref="A18:A26" si="4">A3</f>
        <v>2012</v>
      </c>
      <c r="B18" s="21">
        <f>B3/'Rate Class Energy Model'!J6</f>
        <v>3.0667993549205901E-3</v>
      </c>
      <c r="C18" s="21">
        <f>C3/'Rate Class Energy Model'!K6</f>
        <v>2.7078762988008696E-3</v>
      </c>
      <c r="D18" s="21">
        <f>D3/'Rate Class Energy Model'!M6</f>
        <v>1.6817230204479623E-3</v>
      </c>
      <c r="E18" s="21">
        <f>E3/'Rate Class Energy Model'!N6</f>
        <v>2.2189193380421335E-3</v>
      </c>
      <c r="H18" s="21"/>
      <c r="I18" s="21"/>
      <c r="J18" s="21"/>
      <c r="K18" s="21"/>
      <c r="L18" s="46"/>
    </row>
    <row r="19" spans="1:12" x14ac:dyDescent="0.2">
      <c r="A19" s="4">
        <f t="shared" si="4"/>
        <v>2013</v>
      </c>
      <c r="B19" s="21">
        <f>B4/'Rate Class Energy Model'!J7</f>
        <v>3.06074685787271E-3</v>
      </c>
      <c r="C19" s="21">
        <f>C4/'Rate Class Energy Model'!K7</f>
        <v>2.70576048887558E-3</v>
      </c>
      <c r="D19" s="21">
        <f>D4/'Rate Class Energy Model'!M7</f>
        <v>2.5710681523940203E-3</v>
      </c>
      <c r="E19" s="21">
        <f>E4/'Rate Class Energy Model'!N7</f>
        <v>2.2210789283270633E-3</v>
      </c>
      <c r="H19" s="21"/>
      <c r="I19" s="21"/>
      <c r="J19" s="21"/>
      <c r="K19" s="21"/>
      <c r="L19" s="46"/>
    </row>
    <row r="20" spans="1:12" x14ac:dyDescent="0.2">
      <c r="A20" s="4">
        <f t="shared" si="4"/>
        <v>2014</v>
      </c>
      <c r="B20" s="21">
        <f>B5/'Rate Class Energy Model'!J8</f>
        <v>3.2491309826356953E-3</v>
      </c>
      <c r="C20" s="21">
        <f>C5/'Rate Class Energy Model'!K8</f>
        <v>2.8017981897342985E-3</v>
      </c>
      <c r="D20" s="21">
        <f>D5/'Rate Class Energy Model'!M8</f>
        <v>2.6353614953103766E-3</v>
      </c>
      <c r="E20" s="21">
        <f>E5/'Rate Class Energy Model'!N8</f>
        <v>2.2306950530509725E-3</v>
      </c>
      <c r="H20" s="21"/>
      <c r="I20" s="21"/>
      <c r="J20" s="21"/>
      <c r="K20" s="21"/>
      <c r="L20" s="46"/>
    </row>
    <row r="21" spans="1:12" x14ac:dyDescent="0.2">
      <c r="A21" s="4">
        <f t="shared" si="4"/>
        <v>2015</v>
      </c>
      <c r="B21" s="21">
        <f>B6/'Rate Class Energy Model'!J9</f>
        <v>3.135053325070151E-3</v>
      </c>
      <c r="C21" s="21">
        <f>C6/'Rate Class Energy Model'!K9</f>
        <v>2.7015710936087612E-3</v>
      </c>
      <c r="D21" s="21">
        <f>D6/'Rate Class Energy Model'!M9</f>
        <v>2.6862439948575679E-3</v>
      </c>
      <c r="E21" s="21">
        <f>E6/'Rate Class Energy Model'!N9</f>
        <v>2.1844426888035133E-3</v>
      </c>
      <c r="H21" s="21"/>
      <c r="I21" s="21"/>
      <c r="J21" s="21"/>
      <c r="K21" s="21"/>
      <c r="L21" s="46"/>
    </row>
    <row r="22" spans="1:12" x14ac:dyDescent="0.2">
      <c r="A22" s="4">
        <f t="shared" si="4"/>
        <v>2016</v>
      </c>
      <c r="B22" s="21">
        <f>B7/'Rate Class Energy Model'!J10</f>
        <v>3.379137684492398E-3</v>
      </c>
      <c r="C22" s="21">
        <f>C7/'Rate Class Energy Model'!K10</f>
        <v>3.004634254634255E-3</v>
      </c>
      <c r="D22" s="21">
        <f>D7/'Rate Class Energy Model'!M10</f>
        <v>2.6742143275424557E-3</v>
      </c>
      <c r="E22" s="21">
        <f>E7/'Rate Class Energy Model'!N10</f>
        <v>2.286002951693001E-3</v>
      </c>
      <c r="H22" s="21"/>
      <c r="I22" s="21"/>
      <c r="J22" s="21"/>
      <c r="K22" s="21"/>
      <c r="L22" s="46"/>
    </row>
    <row r="23" spans="1:12" x14ac:dyDescent="0.2">
      <c r="A23" s="4">
        <f t="shared" si="4"/>
        <v>2017</v>
      </c>
      <c r="B23" s="21">
        <f>B8/'Rate Class Energy Model'!J11</f>
        <v>3.602785423858907E-3</v>
      </c>
      <c r="C23" s="21">
        <f>C8/'Rate Class Energy Model'!K11</f>
        <v>2.7214166789683073E-3</v>
      </c>
      <c r="D23" s="21">
        <f>D8/'Rate Class Energy Model'!M11</f>
        <v>2.6506102948394908E-3</v>
      </c>
      <c r="E23" s="21">
        <f>E8/'Rate Class Energy Model'!N11</f>
        <v>2.2961635782201739E-3</v>
      </c>
      <c r="H23" s="21"/>
      <c r="I23" s="21"/>
      <c r="J23" s="21"/>
      <c r="L23" s="46"/>
    </row>
    <row r="24" spans="1:12" x14ac:dyDescent="0.2">
      <c r="A24" s="4">
        <f t="shared" si="4"/>
        <v>2018</v>
      </c>
      <c r="B24" s="21">
        <f>B9/'Rate Class Energy Model'!J12</f>
        <v>3.0627252355582882E-3</v>
      </c>
      <c r="C24" s="21">
        <f>C9/'Rate Class Energy Model'!K12</f>
        <v>2.9052528293273274E-3</v>
      </c>
      <c r="D24" s="21">
        <f>D9/'Rate Class Energy Model'!M12</f>
        <v>2.5876248679442089E-3</v>
      </c>
      <c r="E24" s="21">
        <f>E9/'Rate Class Energy Model'!N12</f>
        <v>2.354530844542129E-3</v>
      </c>
      <c r="H24" s="21"/>
      <c r="I24" s="21"/>
      <c r="J24" s="21"/>
      <c r="L24" s="46"/>
    </row>
    <row r="25" spans="1:12" x14ac:dyDescent="0.2">
      <c r="A25" s="4">
        <f t="shared" si="4"/>
        <v>2019</v>
      </c>
      <c r="B25" s="21">
        <f>B10/'Rate Class Energy Model'!J13</f>
        <v>3.5479328517185331E-3</v>
      </c>
      <c r="C25" s="21">
        <f>C10/'Rate Class Energy Model'!K13</f>
        <v>2.7745932881464101E-3</v>
      </c>
      <c r="D25" s="21">
        <f>D10/'Rate Class Energy Model'!M13</f>
        <v>2.5225187858174854E-3</v>
      </c>
      <c r="E25" s="21">
        <f>E10/'Rate Class Energy Model'!N13</f>
        <v>2.2949089271579299E-3</v>
      </c>
      <c r="H25" s="21"/>
      <c r="I25" s="21"/>
      <c r="J25" s="21"/>
      <c r="L25" s="46"/>
    </row>
    <row r="26" spans="1:12" x14ac:dyDescent="0.2">
      <c r="A26" s="4">
        <f t="shared" si="4"/>
        <v>2020</v>
      </c>
      <c r="B26" s="21">
        <f>B11/'Rate Class Energy Model'!J14</f>
        <v>3.8859699503430022E-3</v>
      </c>
      <c r="C26" s="21">
        <f>C11/'Rate Class Energy Model'!K14</f>
        <v>3.0596696342044829E-3</v>
      </c>
      <c r="D26" s="21">
        <f>D11/'Rate Class Energy Model'!M14</f>
        <v>2.7120100283102582E-3</v>
      </c>
      <c r="E26" s="235">
        <f>E11/'Rate Class Energy Model'!N14</f>
        <v>2.7949367697881391E-3</v>
      </c>
      <c r="H26" s="21"/>
      <c r="I26" s="21"/>
      <c r="J26" s="21"/>
      <c r="L26" s="46"/>
    </row>
    <row r="27" spans="1:12" x14ac:dyDescent="0.2">
      <c r="L27" s="46"/>
    </row>
    <row r="28" spans="1:12" x14ac:dyDescent="0.2">
      <c r="A28" s="124" t="s">
        <v>33</v>
      </c>
      <c r="B28" s="21">
        <f>B32</f>
        <v>3.3455269041396556E-3</v>
      </c>
      <c r="C28" s="21">
        <f>C33</f>
        <v>2.8931133370561565E-3</v>
      </c>
      <c r="D28" s="21">
        <f>D33</f>
        <v>2.6293956608907801E-3</v>
      </c>
      <c r="E28" s="21">
        <f>E33</f>
        <v>2.4053086142802747E-3</v>
      </c>
    </row>
    <row r="30" spans="1:12" x14ac:dyDescent="0.2">
      <c r="A30" s="124" t="s">
        <v>188</v>
      </c>
      <c r="B30" s="220">
        <f>AVERAGE(B17:B26)</f>
        <v>3.3028964262936575E-3</v>
      </c>
      <c r="C30" s="232">
        <f>AVERAGE(C17:C26)</f>
        <v>2.79480069159469E-3</v>
      </c>
      <c r="D30" s="220">
        <f>AVERAGE(D17:D26)</f>
        <v>2.2787380522569789E-3</v>
      </c>
      <c r="E30" s="220">
        <f>AVERAGE(E17:E26)</f>
        <v>2.3041514172619029E-3</v>
      </c>
    </row>
    <row r="31" spans="1:12" x14ac:dyDescent="0.2">
      <c r="A31" s="221" t="s">
        <v>189</v>
      </c>
      <c r="B31" s="220">
        <f>AVERAGE(B17:B25)</f>
        <v>3.2381104791770633E-3</v>
      </c>
      <c r="C31" s="220">
        <f>AVERAGE(C17:C25)</f>
        <v>2.7653708090824907E-3</v>
      </c>
      <c r="D31" s="220">
        <f>AVERAGE(D17:D25)</f>
        <v>2.2305967215843926E-3</v>
      </c>
      <c r="E31" s="220">
        <f>AVERAGE(E17:E25)</f>
        <v>2.2496197114256545E-3</v>
      </c>
    </row>
    <row r="32" spans="1:12" x14ac:dyDescent="0.2">
      <c r="A32" s="221" t="s">
        <v>190</v>
      </c>
      <c r="B32" s="222">
        <f t="shared" ref="B32:D33" si="5">AVERAGE(B21:B25)</f>
        <v>3.3455269041396556E-3</v>
      </c>
      <c r="C32" s="220">
        <f t="shared" si="5"/>
        <v>2.8214936289370123E-3</v>
      </c>
      <c r="D32" s="220">
        <f t="shared" si="5"/>
        <v>2.6242424542002414E-3</v>
      </c>
      <c r="E32" s="232">
        <f>AVERAGE(E21:E25)</f>
        <v>2.2832097980833499E-3</v>
      </c>
    </row>
    <row r="33" spans="1:5" x14ac:dyDescent="0.2">
      <c r="A33" s="221" t="s">
        <v>191</v>
      </c>
      <c r="B33" s="220">
        <f t="shared" si="5"/>
        <v>3.4957102291942261E-3</v>
      </c>
      <c r="C33" s="222">
        <f t="shared" si="5"/>
        <v>2.8931133370561565E-3</v>
      </c>
      <c r="D33" s="222">
        <f t="shared" si="5"/>
        <v>2.6293956608907801E-3</v>
      </c>
      <c r="E33" s="222">
        <f>AVERAGE(E22:E26)</f>
        <v>2.4053086142802747E-3</v>
      </c>
    </row>
    <row r="35" spans="1:5" x14ac:dyDescent="0.2">
      <c r="B35" s="19"/>
      <c r="C35" s="19"/>
      <c r="D35" s="19"/>
      <c r="E35" s="19"/>
    </row>
    <row r="36" spans="1:5" x14ac:dyDescent="0.2">
      <c r="A36">
        <v>2020</v>
      </c>
      <c r="B36" s="220">
        <f>B32</f>
        <v>3.3455269041396556E-3</v>
      </c>
      <c r="C36" s="220">
        <f>C33</f>
        <v>2.8931133370561565E-3</v>
      </c>
      <c r="D36" s="220">
        <f>D33</f>
        <v>2.6293956608907801E-3</v>
      </c>
      <c r="E36" s="220">
        <f>E28</f>
        <v>2.4053086142802747E-3</v>
      </c>
    </row>
    <row r="37" spans="1:5" x14ac:dyDescent="0.2">
      <c r="A37">
        <v>2021</v>
      </c>
      <c r="B37" s="220">
        <f>B36</f>
        <v>3.3455269041396556E-3</v>
      </c>
      <c r="C37" s="220">
        <f t="shared" ref="C37:E38" si="6">C36</f>
        <v>2.8931133370561565E-3</v>
      </c>
      <c r="D37" s="220">
        <f t="shared" si="6"/>
        <v>2.6293956608907801E-3</v>
      </c>
      <c r="E37" s="220">
        <f t="shared" si="6"/>
        <v>2.4053086142802747E-3</v>
      </c>
    </row>
    <row r="38" spans="1:5" x14ac:dyDescent="0.2">
      <c r="A38">
        <v>2022</v>
      </c>
      <c r="B38" s="220">
        <f>B37</f>
        <v>3.3455269041396556E-3</v>
      </c>
      <c r="C38" s="220">
        <f t="shared" si="6"/>
        <v>2.8931133370561565E-3</v>
      </c>
      <c r="D38" s="220">
        <f t="shared" si="6"/>
        <v>2.6293956608907801E-3</v>
      </c>
      <c r="E38" s="220">
        <f t="shared" si="6"/>
        <v>2.4053086142802747E-3</v>
      </c>
    </row>
    <row r="55" spans="2:5" x14ac:dyDescent="0.2">
      <c r="B55" s="12"/>
      <c r="C55" s="12"/>
      <c r="D55" s="12"/>
      <c r="E55" s="12"/>
    </row>
    <row r="56" spans="2:5" x14ac:dyDescent="0.2">
      <c r="B56" s="12"/>
      <c r="C56" s="12"/>
      <c r="D56" s="12"/>
      <c r="E56" s="12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AA164"/>
  <sheetViews>
    <sheetView workbookViewId="0">
      <pane xSplit="1" ySplit="1" topLeftCell="B44" activePane="bottomRight" state="frozen"/>
      <selection activeCell="E13" sqref="E13"/>
      <selection pane="topRight" activeCell="E13" sqref="E13"/>
      <selection pane="bottomLeft" activeCell="E13" sqref="E13"/>
      <selection pane="bottomRight" activeCell="J16" sqref="J16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6" width="14.140625" style="6" customWidth="1"/>
    <col min="7" max="8" width="17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21" width="9.140625" style="6"/>
    <col min="22" max="23" width="14.5703125" bestFit="1" customWidth="1"/>
  </cols>
  <sheetData>
    <row r="1" spans="1:27" ht="42" customHeight="1" x14ac:dyDescent="0.2">
      <c r="A1" s="13" t="s">
        <v>209</v>
      </c>
      <c r="B1" s="8" t="str">
        <f>'Rate Class Energy Model'!H2</f>
        <v>Residential</v>
      </c>
      <c r="C1" s="8" t="str">
        <f>'Rate Class Energy Model'!I2</f>
        <v>GS&lt;50</v>
      </c>
      <c r="D1" s="8" t="str">
        <f>'Rate Class Energy Model'!J2</f>
        <v>GS&gt;50</v>
      </c>
      <c r="E1" s="8" t="str">
        <f>'Rate Class Energy Model'!K2</f>
        <v>Streetlights</v>
      </c>
      <c r="F1" s="8" t="str">
        <f>'Rate Class Energy Model'!L2</f>
        <v>Unmetered Scattered Load</v>
      </c>
      <c r="G1" s="8" t="str">
        <f>'Rate Class Energy Model'!M2</f>
        <v>Sentinel Lights</v>
      </c>
      <c r="H1" s="8" t="str">
        <f>'Rate Class Energy Model'!N2</f>
        <v>Embedded Distributor</v>
      </c>
      <c r="I1" s="6" t="s">
        <v>7</v>
      </c>
      <c r="J1" s="22" t="s">
        <v>199</v>
      </c>
      <c r="L1" s="213" t="s">
        <v>103</v>
      </c>
      <c r="M1" s="213" t="s">
        <v>75</v>
      </c>
      <c r="N1" s="213" t="s">
        <v>40</v>
      </c>
      <c r="O1" s="213" t="str">
        <f>B1</f>
        <v>Residential</v>
      </c>
      <c r="P1" s="213" t="str">
        <f t="shared" ref="P1:W1" si="0">C1</f>
        <v>GS&lt;50</v>
      </c>
      <c r="Q1" s="213" t="str">
        <f t="shared" si="0"/>
        <v>GS&gt;50</v>
      </c>
      <c r="R1" s="213" t="str">
        <f t="shared" si="0"/>
        <v>Streetlights</v>
      </c>
      <c r="S1" s="213" t="str">
        <f t="shared" si="0"/>
        <v>Unmetered Scattered Load</v>
      </c>
      <c r="T1" s="213" t="str">
        <f t="shared" si="0"/>
        <v>Sentinel Lights</v>
      </c>
      <c r="U1" s="213" t="str">
        <f t="shared" si="0"/>
        <v>Embedded Distributor</v>
      </c>
      <c r="V1" s="213" t="str">
        <f t="shared" si="0"/>
        <v>Total</v>
      </c>
      <c r="W1" s="213" t="str">
        <f t="shared" si="0"/>
        <v>Total No Devices</v>
      </c>
    </row>
    <row r="2" spans="1:27" x14ac:dyDescent="0.2">
      <c r="A2" s="4">
        <v>2011</v>
      </c>
      <c r="B2" s="80">
        <f>AVERAGEIFS(O:O,$M:$M,$A2)</f>
        <v>9934.2083333333303</v>
      </c>
      <c r="C2" s="80">
        <f t="shared" ref="C2:H2" si="1">AVERAGEIFS(P:P,$M:$M,$A2)</f>
        <v>1194.5833333333337</v>
      </c>
      <c r="D2" s="80">
        <f t="shared" si="1"/>
        <v>94.583333333333371</v>
      </c>
      <c r="E2" s="80">
        <f t="shared" si="1"/>
        <v>2789.875</v>
      </c>
      <c r="F2" s="80">
        <f t="shared" si="1"/>
        <v>32.458333333333321</v>
      </c>
      <c r="G2" s="80">
        <f t="shared" si="1"/>
        <v>7</v>
      </c>
      <c r="H2" s="80">
        <f t="shared" si="1"/>
        <v>4</v>
      </c>
      <c r="I2" s="20">
        <f t="shared" ref="I2:I13" si="2">SUM(B2:H2)</f>
        <v>14056.708333333332</v>
      </c>
      <c r="J2" s="6">
        <f>B2+C2+D2+H2+145</f>
        <v>11372.374999999998</v>
      </c>
      <c r="L2" s="211">
        <f>'Purchased Power Model'!A3</f>
        <v>40544</v>
      </c>
      <c r="M2" s="212">
        <f>'Purchased Power Model'!B3</f>
        <v>2011</v>
      </c>
      <c r="N2" s="212">
        <f>'Purchased Power Model'!C3</f>
        <v>1</v>
      </c>
      <c r="O2" s="46" cm="1">
        <f t="array" ref="O2">IF($N2=12,INDEX($A$32:$J$44,MATCH($M2,$A$32:$A$44,0),MATCH(O$1,$A$1:$J$1,0)),INDEX($A$32:$J$44,MATCH($M2,$A$32:$A$44,0),MATCH(O$1,$A$1:$J$1,0))-INDEX($A$32:$J$44,MATCH($M2,$A$32:$A$44,0)-1,MATCH(O$1,$A$1:$J$1,0)))/12+B32</f>
        <v>9904.4166666666661</v>
      </c>
      <c r="P2" s="46" cm="1">
        <f t="array" ref="P2">IF($N2=12,INDEX($A$32:$J$44,MATCH($M2,$A$32:$A$44,0),MATCH(P$1,$A$1:$J$1,0)),INDEX($A$32:$J$44,MATCH($M2,$A$32:$A$44,0),MATCH(P$1,$A$1:$J$1,0))-INDEX($A$32:$J$44,MATCH($M2,$A$32:$A$44,0)-1,MATCH(P$1,$A$1:$J$1,0)))/12+C32</f>
        <v>1188.1666666666667</v>
      </c>
      <c r="Q2" s="46" cm="1">
        <f t="array" ref="Q2">IF($N2=12,INDEX($A$32:$J$44,MATCH($M2,$A$32:$A$44,0),MATCH(Q$1,$A$1:$J$1,0)),INDEX($A$32:$J$44,MATCH($M2,$A$32:$A$44,0),MATCH(Q$1,$A$1:$J$1,0))-INDEX($A$32:$J$44,MATCH($M2,$A$32:$A$44,0)-1,MATCH(Q$1,$A$1:$J$1,0)))/12+D32</f>
        <v>99.166666666666671</v>
      </c>
      <c r="R2" s="46" cm="1">
        <f t="array" ref="R2">IF($N2=12,INDEX($A$32:$J$44,MATCH($M2,$A$32:$A$44,0),MATCH(R$1,$A$1:$J$1,0)),INDEX($A$32:$J$44,MATCH($M2,$A$32:$A$44,0),MATCH(R$1,$A$1:$J$1,0))-INDEX($A$32:$J$44,MATCH($M2,$A$32:$A$44,0)-1,MATCH(R$1,$A$1:$J$1,0)))/12+E32</f>
        <v>2785.75</v>
      </c>
      <c r="S2" s="46" cm="1">
        <f t="array" ref="S2">IF($N2=12,INDEX($A$32:$J$44,MATCH($M2,$A$32:$A$44,0),MATCH(S$1,$A$1:$J$1,0)),INDEX($A$32:$J$44,MATCH($M2,$A$32:$A$44,0),MATCH(S$1,$A$1:$J$1,0))-INDEX($A$32:$J$44,MATCH($M2,$A$32:$A$44,0)-1,MATCH(S$1,$A$1:$J$1,0)))/12+F32</f>
        <v>32.916666666666664</v>
      </c>
      <c r="T2" s="46" cm="1">
        <f t="array" ref="T2">IF($N2=12,INDEX($A$32:$J$44,MATCH($M2,$A$32:$A$44,0),MATCH(T$1,$A$1:$J$1,0)),INDEX($A$32:$J$44,MATCH($M2,$A$32:$A$44,0),MATCH(T$1,$A$1:$J$1,0))-INDEX($A$32:$J$44,MATCH($M2,$A$32:$A$44,0)-1,MATCH(T$1,$A$1:$J$1,0)))/12+G32</f>
        <v>7</v>
      </c>
      <c r="U2" s="46" cm="1">
        <f t="array" ref="U2">IF($N2=12,INDEX($A$32:$J$44,MATCH($M2,$A$32:$A$44,0),MATCH(U$1,$A$1:$J$1,0)),INDEX($A$32:$J$44,MATCH($M2,$A$32:$A$44,0),MATCH(U$1,$A$1:$J$1,0))-INDEX($A$32:$J$44,MATCH($M2,$A$32:$A$44,0)-1,MATCH(U$1,$A$1:$J$1,0)))/12+H32</f>
        <v>4</v>
      </c>
      <c r="V2" s="46" cm="1">
        <f t="array" ref="V2">IF($N2=12,INDEX($A$32:$J$44,MATCH($M2,$A$32:$A$44,0),MATCH(V$1,$A$1:$J$1,0)),INDEX($A$32:$J$44,MATCH($M2,$A$32:$A$44,0),MATCH(V$1,$A$1:$J$1,0))-INDEX($A$32:$J$44,MATCH($M2,$A$32:$A$44,0)-1,MATCH(V$1,$A$1:$J$1,0)))/12+I32</f>
        <v>14021.416666666666</v>
      </c>
      <c r="W2" s="46" cm="1">
        <f t="array" ref="W2">IF($N2=12,INDEX($A$32:$J$44,MATCH($M2,$A$32:$A$44,0),MATCH(W$1,$A$1:$J$1,0)),INDEX($A$32:$J$44,MATCH($M2,$A$32:$A$44,0),MATCH(W$1,$A$1:$J$1,0))-INDEX($A$32:$J$44,MATCH($M2,$A$32:$A$44,0)-1,MATCH(W$1,$A$1:$J$1,0)))/12+J32</f>
        <v>11340.75</v>
      </c>
    </row>
    <row r="3" spans="1:27" x14ac:dyDescent="0.2">
      <c r="A3" s="4">
        <v>2012</v>
      </c>
      <c r="B3" s="80">
        <f t="shared" ref="B3:B11" si="3">AVERAGEIFS(O:O,$M:$M,$A3)</f>
        <v>10011.125</v>
      </c>
      <c r="C3" s="80">
        <f t="shared" ref="C3:C11" si="4">AVERAGEIFS(P:P,$M:$M,$A3)</f>
        <v>1205.3333333333337</v>
      </c>
      <c r="D3" s="80">
        <f t="shared" ref="D3:D11" si="5">AVERAGEIFS(Q:Q,$M:$M,$A3)</f>
        <v>88.916666666666629</v>
      </c>
      <c r="E3" s="80">
        <f t="shared" ref="E3:E11" si="6">AVERAGEIFS(R:R,$M:$M,$A3)</f>
        <v>2798.875</v>
      </c>
      <c r="F3" s="80">
        <f t="shared" ref="F3:F11" si="7">AVERAGEIFS(S:S,$M:$M,$A3)</f>
        <v>31.458333333333343</v>
      </c>
      <c r="G3" s="80">
        <f t="shared" ref="G3:G11" si="8">AVERAGEIFS(T:T,$M:$M,$A3)</f>
        <v>7</v>
      </c>
      <c r="H3" s="80">
        <f t="shared" ref="H3:H11" si="9">AVERAGEIFS(U:U,$M:$M,$A3)</f>
        <v>4</v>
      </c>
      <c r="I3" s="20">
        <f t="shared" si="2"/>
        <v>14146.708333333334</v>
      </c>
      <c r="J3" s="6">
        <f t="shared" ref="J3:J11" si="10">B3+C3+D3+H3+145</f>
        <v>11454.375</v>
      </c>
      <c r="L3" s="211">
        <f>'Purchased Power Model'!A4</f>
        <v>40575</v>
      </c>
      <c r="M3" s="212">
        <f>'Purchased Power Model'!B4</f>
        <v>2011</v>
      </c>
      <c r="N3" s="212">
        <f>'Purchased Power Model'!C4</f>
        <v>2</v>
      </c>
      <c r="O3" s="46" cm="1">
        <f t="array" ref="O3">IF($N3=12,INDEX($A$32:$J$44,MATCH($M3,$A$32:$A$44,0),MATCH(O$1,$A$1:$J$1,0)),(INDEX($A$32:$J$44,MATCH($M3,$A$32:$A$44,0),MATCH(O$1,$A$1:$J$1,0))-INDEX($A$32:$J$44,MATCH($M3,$A$32:$A$44,0)-1,MATCH(O$1,$A$1:$J$1,0)))/12+O2)</f>
        <v>9909.8333333333321</v>
      </c>
      <c r="P3" s="46" cm="1">
        <f t="array" ref="P3">IF($N3=12,INDEX($A$32:$J$44,MATCH($M3,$A$32:$A$44,0),MATCH(P$1,$A$1:$J$1,0)),(INDEX($A$32:$J$44,MATCH($M3,$A$32:$A$44,0),MATCH(P$1,$A$1:$J$1,0))-INDEX($A$32:$J$44,MATCH($M3,$A$32:$A$44,0)-1,MATCH(P$1,$A$1:$J$1,0)))/12+P2)</f>
        <v>1189.3333333333335</v>
      </c>
      <c r="Q3" s="46" cm="1">
        <f t="array" ref="Q3">IF($N3=12,INDEX($A$32:$J$44,MATCH($M3,$A$32:$A$44,0),MATCH(Q$1,$A$1:$J$1,0)),(INDEX($A$32:$J$44,MATCH($M3,$A$32:$A$44,0),MATCH(Q$1,$A$1:$J$1,0))-INDEX($A$32:$J$44,MATCH($M3,$A$32:$A$44,0)-1,MATCH(Q$1,$A$1:$J$1,0)))/12+Q2)</f>
        <v>98.333333333333343</v>
      </c>
      <c r="R3" s="46" cm="1">
        <f t="array" ref="R3">IF($N3=12,INDEX($A$32:$J$44,MATCH($M3,$A$32:$A$44,0),MATCH(R$1,$A$1:$J$1,0)),(INDEX($A$32:$J$44,MATCH($M3,$A$32:$A$44,0),MATCH(R$1,$A$1:$J$1,0))-INDEX($A$32:$J$44,MATCH($M3,$A$32:$A$44,0)-1,MATCH(R$1,$A$1:$J$1,0)))/12+R2)</f>
        <v>2786.5</v>
      </c>
      <c r="S3" s="46" cm="1">
        <f t="array" ref="S3">IF($N3=12,INDEX($A$32:$J$44,MATCH($M3,$A$32:$A$44,0),MATCH(S$1,$A$1:$J$1,0)),(INDEX($A$32:$J$44,MATCH($M3,$A$32:$A$44,0),MATCH(S$1,$A$1:$J$1,0))-INDEX($A$32:$J$44,MATCH($M3,$A$32:$A$44,0)-1,MATCH(S$1,$A$1:$J$1,0)))/12+S2)</f>
        <v>32.833333333333329</v>
      </c>
      <c r="T3" s="46" cm="1">
        <f t="array" ref="T3">IF($N3=12,INDEX($A$32:$J$44,MATCH($M3,$A$32:$A$44,0),MATCH(T$1,$A$1:$J$1,0)),(INDEX($A$32:$J$44,MATCH($M3,$A$32:$A$44,0),MATCH(T$1,$A$1:$J$1,0))-INDEX($A$32:$J$44,MATCH($M3,$A$32:$A$44,0)-1,MATCH(T$1,$A$1:$J$1,0)))/12+T2)</f>
        <v>7</v>
      </c>
      <c r="U3" s="46" cm="1">
        <f t="array" ref="U3">IF($N3=12,INDEX($A$32:$J$44,MATCH($M3,$A$32:$A$44,0),MATCH(U$1,$A$1:$J$1,0)),(INDEX($A$32:$J$44,MATCH($M3,$A$32:$A$44,0),MATCH(U$1,$A$1:$J$1,0))-INDEX($A$32:$J$44,MATCH($M3,$A$32:$A$44,0)-1,MATCH(U$1,$A$1:$J$1,0)))/12+U2)</f>
        <v>4</v>
      </c>
      <c r="V3" s="46" cm="1">
        <f t="array" ref="V3">IF($N3=12,INDEX($A$32:$J$44,MATCH($M3,$A$32:$A$44,0),MATCH(V$1,$A$1:$J$1,0)),(INDEX($A$32:$J$44,MATCH($M3,$A$32:$A$44,0),MATCH(V$1,$A$1:$J$1,0))-INDEX($A$32:$J$44,MATCH($M3,$A$32:$A$44,0)-1,MATCH(V$1,$A$1:$J$1,0)))/12+V2)</f>
        <v>14027.833333333332</v>
      </c>
      <c r="W3" s="46" cm="1">
        <f t="array" ref="W3">IF($N3=12,INDEX($A$32:$J$44,MATCH($M3,$A$32:$A$44,0),MATCH(W$1,$A$1:$J$1,0)),(INDEX($A$32:$J$44,MATCH($M3,$A$32:$A$44,0),MATCH(W$1,$A$1:$J$1,0))-INDEX($A$32:$J$44,MATCH($M3,$A$32:$A$44,0)-1,MATCH(W$1,$A$1:$J$1,0)))/12+W2)</f>
        <v>11346.5</v>
      </c>
    </row>
    <row r="4" spans="1:27" x14ac:dyDescent="0.2">
      <c r="A4" s="4">
        <v>2013</v>
      </c>
      <c r="B4" s="80">
        <f t="shared" si="3"/>
        <v>10085.125</v>
      </c>
      <c r="C4" s="80">
        <f t="shared" si="4"/>
        <v>1207.375</v>
      </c>
      <c r="D4" s="80">
        <f t="shared" si="5"/>
        <v>89.083333333333371</v>
      </c>
      <c r="E4" s="80">
        <f t="shared" si="6"/>
        <v>2807.875</v>
      </c>
      <c r="F4" s="80">
        <f t="shared" si="7"/>
        <v>31</v>
      </c>
      <c r="G4" s="80">
        <f t="shared" si="8"/>
        <v>7</v>
      </c>
      <c r="H4" s="80">
        <f t="shared" si="9"/>
        <v>4</v>
      </c>
      <c r="I4" s="20">
        <f t="shared" si="2"/>
        <v>14231.458333333334</v>
      </c>
      <c r="J4" s="6">
        <f t="shared" si="10"/>
        <v>11530.583333333334</v>
      </c>
      <c r="L4" s="211">
        <f>'Purchased Power Model'!A5</f>
        <v>40603</v>
      </c>
      <c r="M4" s="212">
        <f>'Purchased Power Model'!B5</f>
        <v>2011</v>
      </c>
      <c r="N4" s="212">
        <f>'Purchased Power Model'!C5</f>
        <v>3</v>
      </c>
      <c r="O4" s="46" cm="1">
        <f t="array" ref="O4">IF($N4=12,INDEX($A$32:$J$44,MATCH($M4,$A$32:$A$44,0),MATCH(O$1,$A$1:$J$1,0)),(INDEX($A$32:$J$44,MATCH($M4,$A$32:$A$44,0),MATCH(O$1,$A$1:$J$1,0))-INDEX($A$32:$J$44,MATCH($M4,$A$32:$A$44,0)-1,MATCH(O$1,$A$1:$J$1,0)))/12+O3)</f>
        <v>9915.2499999999982</v>
      </c>
      <c r="P4" s="46" cm="1">
        <f t="array" ref="P4">IF($N4=12,INDEX($A$32:$J$44,MATCH($M4,$A$32:$A$44,0),MATCH(P$1,$A$1:$J$1,0)),(INDEX($A$32:$J$44,MATCH($M4,$A$32:$A$44,0),MATCH(P$1,$A$1:$J$1,0))-INDEX($A$32:$J$44,MATCH($M4,$A$32:$A$44,0)-1,MATCH(P$1,$A$1:$J$1,0)))/12+P3)</f>
        <v>1190.5000000000002</v>
      </c>
      <c r="Q4" s="46" cm="1">
        <f t="array" ref="Q4">IF($N4=12,INDEX($A$32:$J$44,MATCH($M4,$A$32:$A$44,0),MATCH(Q$1,$A$1:$J$1,0)),(INDEX($A$32:$J$44,MATCH($M4,$A$32:$A$44,0),MATCH(Q$1,$A$1:$J$1,0))-INDEX($A$32:$J$44,MATCH($M4,$A$32:$A$44,0)-1,MATCH(Q$1,$A$1:$J$1,0)))/12+Q3)</f>
        <v>97.500000000000014</v>
      </c>
      <c r="R4" s="46" cm="1">
        <f t="array" ref="R4">IF($N4=12,INDEX($A$32:$J$44,MATCH($M4,$A$32:$A$44,0),MATCH(R$1,$A$1:$J$1,0)),(INDEX($A$32:$J$44,MATCH($M4,$A$32:$A$44,0),MATCH(R$1,$A$1:$J$1,0))-INDEX($A$32:$J$44,MATCH($M4,$A$32:$A$44,0)-1,MATCH(R$1,$A$1:$J$1,0)))/12+R3)</f>
        <v>2787.25</v>
      </c>
      <c r="S4" s="46" cm="1">
        <f t="array" ref="S4">IF($N4=12,INDEX($A$32:$J$44,MATCH($M4,$A$32:$A$44,0),MATCH(S$1,$A$1:$J$1,0)),(INDEX($A$32:$J$44,MATCH($M4,$A$32:$A$44,0),MATCH(S$1,$A$1:$J$1,0))-INDEX($A$32:$J$44,MATCH($M4,$A$32:$A$44,0)-1,MATCH(S$1,$A$1:$J$1,0)))/12+S3)</f>
        <v>32.749999999999993</v>
      </c>
      <c r="T4" s="46" cm="1">
        <f t="array" ref="T4">IF($N4=12,INDEX($A$32:$J$44,MATCH($M4,$A$32:$A$44,0),MATCH(T$1,$A$1:$J$1,0)),(INDEX($A$32:$J$44,MATCH($M4,$A$32:$A$44,0),MATCH(T$1,$A$1:$J$1,0))-INDEX($A$32:$J$44,MATCH($M4,$A$32:$A$44,0)-1,MATCH(T$1,$A$1:$J$1,0)))/12+T3)</f>
        <v>7</v>
      </c>
      <c r="U4" s="46" cm="1">
        <f t="array" ref="U4">IF($N4=12,INDEX($A$32:$J$44,MATCH($M4,$A$32:$A$44,0),MATCH(U$1,$A$1:$J$1,0)),(INDEX($A$32:$J$44,MATCH($M4,$A$32:$A$44,0),MATCH(U$1,$A$1:$J$1,0))-INDEX($A$32:$J$44,MATCH($M4,$A$32:$A$44,0)-1,MATCH(U$1,$A$1:$J$1,0)))/12+U3)</f>
        <v>4</v>
      </c>
      <c r="V4" s="46" cm="1">
        <f t="array" ref="V4">IF($N4=12,INDEX($A$32:$J$44,MATCH($M4,$A$32:$A$44,0),MATCH(V$1,$A$1:$J$1,0)),(INDEX($A$32:$J$44,MATCH($M4,$A$32:$A$44,0),MATCH(V$1,$A$1:$J$1,0))-INDEX($A$32:$J$44,MATCH($M4,$A$32:$A$44,0)-1,MATCH(V$1,$A$1:$J$1,0)))/12+V3)</f>
        <v>14034.249999999998</v>
      </c>
      <c r="W4" s="46" cm="1">
        <f t="array" ref="W4">IF($N4=12,INDEX($A$32:$J$44,MATCH($M4,$A$32:$A$44,0),MATCH(W$1,$A$1:$J$1,0)),(INDEX($A$32:$J$44,MATCH($M4,$A$32:$A$44,0),MATCH(W$1,$A$1:$J$1,0))-INDEX($A$32:$J$44,MATCH($M4,$A$32:$A$44,0)-1,MATCH(W$1,$A$1:$J$1,0)))/12+W3)</f>
        <v>11352.25</v>
      </c>
    </row>
    <row r="5" spans="1:27" x14ac:dyDescent="0.2">
      <c r="A5" s="4">
        <v>2014</v>
      </c>
      <c r="B5" s="80">
        <f t="shared" si="3"/>
        <v>10156.79166666667</v>
      </c>
      <c r="C5" s="80">
        <f t="shared" si="4"/>
        <v>1215.2083333333337</v>
      </c>
      <c r="D5" s="80">
        <f t="shared" si="5"/>
        <v>90</v>
      </c>
      <c r="E5" s="80">
        <f t="shared" si="6"/>
        <v>2816.875</v>
      </c>
      <c r="F5" s="80">
        <f t="shared" si="7"/>
        <v>31</v>
      </c>
      <c r="G5" s="80">
        <f t="shared" si="8"/>
        <v>7</v>
      </c>
      <c r="H5" s="80">
        <f t="shared" si="9"/>
        <v>4.5416666666666652</v>
      </c>
      <c r="I5" s="20">
        <f t="shared" si="2"/>
        <v>14321.41666666667</v>
      </c>
      <c r="J5" s="6">
        <f t="shared" si="10"/>
        <v>11611.54166666667</v>
      </c>
      <c r="L5" s="211">
        <f>'Purchased Power Model'!A6</f>
        <v>40634</v>
      </c>
      <c r="M5" s="212">
        <f>'Purchased Power Model'!B6</f>
        <v>2011</v>
      </c>
      <c r="N5" s="212">
        <f>'Purchased Power Model'!C6</f>
        <v>4</v>
      </c>
      <c r="O5" s="46" cm="1">
        <f t="array" ref="O5">IF($N5=12,INDEX($A$32:$J$44,MATCH($M5,$A$32:$A$44,0),MATCH(O$1,$A$1:$J$1,0)),(INDEX($A$32:$J$44,MATCH($M5,$A$32:$A$44,0),MATCH(O$1,$A$1:$J$1,0))-INDEX($A$32:$J$44,MATCH($M5,$A$32:$A$44,0)-1,MATCH(O$1,$A$1:$J$1,0)))/12+O4)</f>
        <v>9920.6666666666642</v>
      </c>
      <c r="P5" s="46" cm="1">
        <f t="array" ref="P5">IF($N5=12,INDEX($A$32:$J$44,MATCH($M5,$A$32:$A$44,0),MATCH(P$1,$A$1:$J$1,0)),(INDEX($A$32:$J$44,MATCH($M5,$A$32:$A$44,0),MATCH(P$1,$A$1:$J$1,0))-INDEX($A$32:$J$44,MATCH($M5,$A$32:$A$44,0)-1,MATCH(P$1,$A$1:$J$1,0)))/12+P4)</f>
        <v>1191.666666666667</v>
      </c>
      <c r="Q5" s="46" cm="1">
        <f t="array" ref="Q5">IF($N5=12,INDEX($A$32:$J$44,MATCH($M5,$A$32:$A$44,0),MATCH(Q$1,$A$1:$J$1,0)),(INDEX($A$32:$J$44,MATCH($M5,$A$32:$A$44,0),MATCH(Q$1,$A$1:$J$1,0))-INDEX($A$32:$J$44,MATCH($M5,$A$32:$A$44,0)-1,MATCH(Q$1,$A$1:$J$1,0)))/12+Q4)</f>
        <v>96.666666666666686</v>
      </c>
      <c r="R5" s="46" cm="1">
        <f t="array" ref="R5">IF($N5=12,INDEX($A$32:$J$44,MATCH($M5,$A$32:$A$44,0),MATCH(R$1,$A$1:$J$1,0)),(INDEX($A$32:$J$44,MATCH($M5,$A$32:$A$44,0),MATCH(R$1,$A$1:$J$1,0))-INDEX($A$32:$J$44,MATCH($M5,$A$32:$A$44,0)-1,MATCH(R$1,$A$1:$J$1,0)))/12+R4)</f>
        <v>2788</v>
      </c>
      <c r="S5" s="46" cm="1">
        <f t="array" ref="S5">IF($N5=12,INDEX($A$32:$J$44,MATCH($M5,$A$32:$A$44,0),MATCH(S$1,$A$1:$J$1,0)),(INDEX($A$32:$J$44,MATCH($M5,$A$32:$A$44,0),MATCH(S$1,$A$1:$J$1,0))-INDEX($A$32:$J$44,MATCH($M5,$A$32:$A$44,0)-1,MATCH(S$1,$A$1:$J$1,0)))/12+S4)</f>
        <v>32.666666666666657</v>
      </c>
      <c r="T5" s="46" cm="1">
        <f t="array" ref="T5">IF($N5=12,INDEX($A$32:$J$44,MATCH($M5,$A$32:$A$44,0),MATCH(T$1,$A$1:$J$1,0)),(INDEX($A$32:$J$44,MATCH($M5,$A$32:$A$44,0),MATCH(T$1,$A$1:$J$1,0))-INDEX($A$32:$J$44,MATCH($M5,$A$32:$A$44,0)-1,MATCH(T$1,$A$1:$J$1,0)))/12+T4)</f>
        <v>7</v>
      </c>
      <c r="U5" s="46" cm="1">
        <f t="array" ref="U5">IF($N5=12,INDEX($A$32:$J$44,MATCH($M5,$A$32:$A$44,0),MATCH(U$1,$A$1:$J$1,0)),(INDEX($A$32:$J$44,MATCH($M5,$A$32:$A$44,0),MATCH(U$1,$A$1:$J$1,0))-INDEX($A$32:$J$44,MATCH($M5,$A$32:$A$44,0)-1,MATCH(U$1,$A$1:$J$1,0)))/12+U4)</f>
        <v>4</v>
      </c>
      <c r="V5" s="46" cm="1">
        <f t="array" ref="V5">IF($N5=12,INDEX($A$32:$J$44,MATCH($M5,$A$32:$A$44,0),MATCH(V$1,$A$1:$J$1,0)),(INDEX($A$32:$J$44,MATCH($M5,$A$32:$A$44,0),MATCH(V$1,$A$1:$J$1,0))-INDEX($A$32:$J$44,MATCH($M5,$A$32:$A$44,0)-1,MATCH(V$1,$A$1:$J$1,0)))/12+V4)</f>
        <v>14040.666666666664</v>
      </c>
      <c r="W5" s="46" cm="1">
        <f t="array" ref="W5">IF($N5=12,INDEX($A$32:$J$44,MATCH($M5,$A$32:$A$44,0),MATCH(W$1,$A$1:$J$1,0)),(INDEX($A$32:$J$44,MATCH($M5,$A$32:$A$44,0),MATCH(W$1,$A$1:$J$1,0))-INDEX($A$32:$J$44,MATCH($M5,$A$32:$A$44,0)-1,MATCH(W$1,$A$1:$J$1,0)))/12+W4)</f>
        <v>11358</v>
      </c>
    </row>
    <row r="6" spans="1:27" x14ac:dyDescent="0.2">
      <c r="A6" s="4">
        <v>2015</v>
      </c>
      <c r="B6" s="80">
        <f t="shared" si="3"/>
        <v>10219.54166666667</v>
      </c>
      <c r="C6" s="80">
        <f t="shared" si="4"/>
        <v>1220.8333333333337</v>
      </c>
      <c r="D6" s="80">
        <f t="shared" si="5"/>
        <v>92.708333333333371</v>
      </c>
      <c r="E6" s="80">
        <f t="shared" si="6"/>
        <v>2825.875</v>
      </c>
      <c r="F6" s="80">
        <f t="shared" si="7"/>
        <v>31</v>
      </c>
      <c r="G6" s="80">
        <f t="shared" si="8"/>
        <v>7</v>
      </c>
      <c r="H6" s="80">
        <f t="shared" si="9"/>
        <v>5</v>
      </c>
      <c r="I6" s="20">
        <f t="shared" si="2"/>
        <v>14401.958333333338</v>
      </c>
      <c r="J6" s="6">
        <f t="shared" si="10"/>
        <v>11683.083333333338</v>
      </c>
      <c r="L6" s="211">
        <f>'Purchased Power Model'!A7</f>
        <v>40664</v>
      </c>
      <c r="M6" s="212">
        <f>'Purchased Power Model'!B7</f>
        <v>2011</v>
      </c>
      <c r="N6" s="212">
        <f>'Purchased Power Model'!C7</f>
        <v>5</v>
      </c>
      <c r="O6" s="46" cm="1">
        <f t="array" ref="O6">IF($N6=12,INDEX($A$32:$J$44,MATCH($M6,$A$32:$A$44,0),MATCH(O$1,$A$1:$J$1,0)),(INDEX($A$32:$J$44,MATCH($M6,$A$32:$A$44,0),MATCH(O$1,$A$1:$J$1,0))-INDEX($A$32:$J$44,MATCH($M6,$A$32:$A$44,0)-1,MATCH(O$1,$A$1:$J$1,0)))/12+O5)</f>
        <v>9926.0833333333303</v>
      </c>
      <c r="P6" s="46" cm="1">
        <f t="array" ref="P6">IF($N6=12,INDEX($A$32:$J$44,MATCH($M6,$A$32:$A$44,0),MATCH(P$1,$A$1:$J$1,0)),(INDEX($A$32:$J$44,MATCH($M6,$A$32:$A$44,0),MATCH(P$1,$A$1:$J$1,0))-INDEX($A$32:$J$44,MATCH($M6,$A$32:$A$44,0)-1,MATCH(P$1,$A$1:$J$1,0)))/12+P5)</f>
        <v>1192.8333333333337</v>
      </c>
      <c r="Q6" s="46" cm="1">
        <f t="array" ref="Q6">IF($N6=12,INDEX($A$32:$J$44,MATCH($M6,$A$32:$A$44,0),MATCH(Q$1,$A$1:$J$1,0)),(INDEX($A$32:$J$44,MATCH($M6,$A$32:$A$44,0),MATCH(Q$1,$A$1:$J$1,0))-INDEX($A$32:$J$44,MATCH($M6,$A$32:$A$44,0)-1,MATCH(Q$1,$A$1:$J$1,0)))/12+Q5)</f>
        <v>95.833333333333357</v>
      </c>
      <c r="R6" s="46" cm="1">
        <f t="array" ref="R6">IF($N6=12,INDEX($A$32:$J$44,MATCH($M6,$A$32:$A$44,0),MATCH(R$1,$A$1:$J$1,0)),(INDEX($A$32:$J$44,MATCH($M6,$A$32:$A$44,0),MATCH(R$1,$A$1:$J$1,0))-INDEX($A$32:$J$44,MATCH($M6,$A$32:$A$44,0)-1,MATCH(R$1,$A$1:$J$1,0)))/12+R5)</f>
        <v>2788.75</v>
      </c>
      <c r="S6" s="46" cm="1">
        <f t="array" ref="S6">IF($N6=12,INDEX($A$32:$J$44,MATCH($M6,$A$32:$A$44,0),MATCH(S$1,$A$1:$J$1,0)),(INDEX($A$32:$J$44,MATCH($M6,$A$32:$A$44,0),MATCH(S$1,$A$1:$J$1,0))-INDEX($A$32:$J$44,MATCH($M6,$A$32:$A$44,0)-1,MATCH(S$1,$A$1:$J$1,0)))/12+S5)</f>
        <v>32.583333333333321</v>
      </c>
      <c r="T6" s="46" cm="1">
        <f t="array" ref="T6">IF($N6=12,INDEX($A$32:$J$44,MATCH($M6,$A$32:$A$44,0),MATCH(T$1,$A$1:$J$1,0)),(INDEX($A$32:$J$44,MATCH($M6,$A$32:$A$44,0),MATCH(T$1,$A$1:$J$1,0))-INDEX($A$32:$J$44,MATCH($M6,$A$32:$A$44,0)-1,MATCH(T$1,$A$1:$J$1,0)))/12+T5)</f>
        <v>7</v>
      </c>
      <c r="U6" s="46" cm="1">
        <f t="array" ref="U6">IF($N6=12,INDEX($A$32:$J$44,MATCH($M6,$A$32:$A$44,0),MATCH(U$1,$A$1:$J$1,0)),(INDEX($A$32:$J$44,MATCH($M6,$A$32:$A$44,0),MATCH(U$1,$A$1:$J$1,0))-INDEX($A$32:$J$44,MATCH($M6,$A$32:$A$44,0)-1,MATCH(U$1,$A$1:$J$1,0)))/12+U5)</f>
        <v>4</v>
      </c>
      <c r="V6" s="46" cm="1">
        <f t="array" ref="V6">IF($N6=12,INDEX($A$32:$J$44,MATCH($M6,$A$32:$A$44,0),MATCH(V$1,$A$1:$J$1,0)),(INDEX($A$32:$J$44,MATCH($M6,$A$32:$A$44,0),MATCH(V$1,$A$1:$J$1,0))-INDEX($A$32:$J$44,MATCH($M6,$A$32:$A$44,0)-1,MATCH(V$1,$A$1:$J$1,0)))/12+V5)</f>
        <v>14047.08333333333</v>
      </c>
      <c r="W6" s="46" cm="1">
        <f t="array" ref="W6">IF($N6=12,INDEX($A$32:$J$44,MATCH($M6,$A$32:$A$44,0),MATCH(W$1,$A$1:$J$1,0)),(INDEX($A$32:$J$44,MATCH($M6,$A$32:$A$44,0),MATCH(W$1,$A$1:$J$1,0))-INDEX($A$32:$J$44,MATCH($M6,$A$32:$A$44,0)-1,MATCH(W$1,$A$1:$J$1,0)))/12+W5)</f>
        <v>11363.75</v>
      </c>
      <c r="X6" s="46"/>
      <c r="Y6" s="46"/>
      <c r="Z6" s="46"/>
      <c r="AA6" s="46"/>
    </row>
    <row r="7" spans="1:27" x14ac:dyDescent="0.2">
      <c r="A7" s="4">
        <v>2016</v>
      </c>
      <c r="B7" s="80">
        <f t="shared" si="3"/>
        <v>10279.91666666667</v>
      </c>
      <c r="C7" s="80">
        <f t="shared" si="4"/>
        <v>1228.2083333333337</v>
      </c>
      <c r="D7" s="80">
        <f t="shared" si="5"/>
        <v>93.916666666666629</v>
      </c>
      <c r="E7" s="80">
        <f t="shared" si="6"/>
        <v>2885.25</v>
      </c>
      <c r="F7" s="80">
        <f t="shared" si="7"/>
        <v>30.458333333333343</v>
      </c>
      <c r="G7" s="80">
        <f t="shared" si="8"/>
        <v>11.33333333333333</v>
      </c>
      <c r="H7" s="80">
        <f t="shared" si="9"/>
        <v>5.5416666666666643</v>
      </c>
      <c r="I7" s="20">
        <f t="shared" si="2"/>
        <v>14534.625000000004</v>
      </c>
      <c r="J7" s="6">
        <f t="shared" si="10"/>
        <v>11752.583333333336</v>
      </c>
      <c r="L7" s="211">
        <f>'Purchased Power Model'!A8</f>
        <v>40695</v>
      </c>
      <c r="M7" s="212">
        <f>'Purchased Power Model'!B8</f>
        <v>2011</v>
      </c>
      <c r="N7" s="212">
        <f>'Purchased Power Model'!C8</f>
        <v>6</v>
      </c>
      <c r="O7" s="46" cm="1">
        <f t="array" ref="O7">IF($N7=12,INDEX($A$32:$J$44,MATCH($M7,$A$32:$A$44,0),MATCH(O$1,$A$1:$J$1,0)),(INDEX($A$32:$J$44,MATCH($M7,$A$32:$A$44,0),MATCH(O$1,$A$1:$J$1,0))-INDEX($A$32:$J$44,MATCH($M7,$A$32:$A$44,0)-1,MATCH(O$1,$A$1:$J$1,0)))/12+O6)</f>
        <v>9931.4999999999964</v>
      </c>
      <c r="P7" s="46" cm="1">
        <f t="array" ref="P7">IF($N7=12,INDEX($A$32:$J$44,MATCH($M7,$A$32:$A$44,0),MATCH(P$1,$A$1:$J$1,0)),(INDEX($A$32:$J$44,MATCH($M7,$A$32:$A$44,0),MATCH(P$1,$A$1:$J$1,0))-INDEX($A$32:$J$44,MATCH($M7,$A$32:$A$44,0)-1,MATCH(P$1,$A$1:$J$1,0)))/12+P6)</f>
        <v>1194.0000000000005</v>
      </c>
      <c r="Q7" s="46" cm="1">
        <f t="array" ref="Q7">IF($N7=12,INDEX($A$32:$J$44,MATCH($M7,$A$32:$A$44,0),MATCH(Q$1,$A$1:$J$1,0)),(INDEX($A$32:$J$44,MATCH($M7,$A$32:$A$44,0),MATCH(Q$1,$A$1:$J$1,0))-INDEX($A$32:$J$44,MATCH($M7,$A$32:$A$44,0)-1,MATCH(Q$1,$A$1:$J$1,0)))/12+Q6)</f>
        <v>95.000000000000028</v>
      </c>
      <c r="R7" s="46" cm="1">
        <f t="array" ref="R7">IF($N7=12,INDEX($A$32:$J$44,MATCH($M7,$A$32:$A$44,0),MATCH(R$1,$A$1:$J$1,0)),(INDEX($A$32:$J$44,MATCH($M7,$A$32:$A$44,0),MATCH(R$1,$A$1:$J$1,0))-INDEX($A$32:$J$44,MATCH($M7,$A$32:$A$44,0)-1,MATCH(R$1,$A$1:$J$1,0)))/12+R6)</f>
        <v>2789.5</v>
      </c>
      <c r="S7" s="46" cm="1">
        <f t="array" ref="S7">IF($N7=12,INDEX($A$32:$J$44,MATCH($M7,$A$32:$A$44,0),MATCH(S$1,$A$1:$J$1,0)),(INDEX($A$32:$J$44,MATCH($M7,$A$32:$A$44,0),MATCH(S$1,$A$1:$J$1,0))-INDEX($A$32:$J$44,MATCH($M7,$A$32:$A$44,0)-1,MATCH(S$1,$A$1:$J$1,0)))/12+S6)</f>
        <v>32.499999999999986</v>
      </c>
      <c r="T7" s="46" cm="1">
        <f t="array" ref="T7">IF($N7=12,INDEX($A$32:$J$44,MATCH($M7,$A$32:$A$44,0),MATCH(T$1,$A$1:$J$1,0)),(INDEX($A$32:$J$44,MATCH($M7,$A$32:$A$44,0),MATCH(T$1,$A$1:$J$1,0))-INDEX($A$32:$J$44,MATCH($M7,$A$32:$A$44,0)-1,MATCH(T$1,$A$1:$J$1,0)))/12+T6)</f>
        <v>7</v>
      </c>
      <c r="U7" s="46" cm="1">
        <f t="array" ref="U7">IF($N7=12,INDEX($A$32:$J$44,MATCH($M7,$A$32:$A$44,0),MATCH(U$1,$A$1:$J$1,0)),(INDEX($A$32:$J$44,MATCH($M7,$A$32:$A$44,0),MATCH(U$1,$A$1:$J$1,0))-INDEX($A$32:$J$44,MATCH($M7,$A$32:$A$44,0)-1,MATCH(U$1,$A$1:$J$1,0)))/12+U6)</f>
        <v>4</v>
      </c>
      <c r="V7" s="46" cm="1">
        <f t="array" ref="V7">IF($N7=12,INDEX($A$32:$J$44,MATCH($M7,$A$32:$A$44,0),MATCH(V$1,$A$1:$J$1,0)),(INDEX($A$32:$J$44,MATCH($M7,$A$32:$A$44,0),MATCH(V$1,$A$1:$J$1,0))-INDEX($A$32:$J$44,MATCH($M7,$A$32:$A$44,0)-1,MATCH(V$1,$A$1:$J$1,0)))/12+V6)</f>
        <v>14053.499999999996</v>
      </c>
      <c r="W7" s="46" cm="1">
        <f t="array" ref="W7">IF($N7=12,INDEX($A$32:$J$44,MATCH($M7,$A$32:$A$44,0),MATCH(W$1,$A$1:$J$1,0)),(INDEX($A$32:$J$44,MATCH($M7,$A$32:$A$44,0),MATCH(W$1,$A$1:$J$1,0))-INDEX($A$32:$J$44,MATCH($M7,$A$32:$A$44,0)-1,MATCH(W$1,$A$1:$J$1,0)))/12+W6)</f>
        <v>11369.5</v>
      </c>
    </row>
    <row r="8" spans="1:27" x14ac:dyDescent="0.2">
      <c r="A8" s="4">
        <v>2017</v>
      </c>
      <c r="B8" s="80">
        <f t="shared" si="3"/>
        <v>10379.70833333333</v>
      </c>
      <c r="C8" s="80">
        <f t="shared" si="4"/>
        <v>1237.0833333333337</v>
      </c>
      <c r="D8" s="80">
        <f t="shared" si="5"/>
        <v>95.166666666666629</v>
      </c>
      <c r="E8" s="80">
        <f t="shared" si="6"/>
        <v>2932</v>
      </c>
      <c r="F8" s="80">
        <f t="shared" si="7"/>
        <v>30.541666666666657</v>
      </c>
      <c r="G8" s="80">
        <f t="shared" si="8"/>
        <v>16.083333333333332</v>
      </c>
      <c r="H8" s="80">
        <f t="shared" si="9"/>
        <v>6</v>
      </c>
      <c r="I8" s="20">
        <f t="shared" si="2"/>
        <v>14696.58333333333</v>
      </c>
      <c r="J8" s="6">
        <f t="shared" si="10"/>
        <v>11862.95833333333</v>
      </c>
      <c r="L8" s="211">
        <f>'Purchased Power Model'!A9</f>
        <v>40725</v>
      </c>
      <c r="M8" s="212">
        <f>'Purchased Power Model'!B9</f>
        <v>2011</v>
      </c>
      <c r="N8" s="212">
        <f>'Purchased Power Model'!C9</f>
        <v>7</v>
      </c>
      <c r="O8" s="46" cm="1">
        <f t="array" ref="O8">IF($N8=12,INDEX($A$32:$J$44,MATCH($M8,$A$32:$A$44,0),MATCH(O$1,$A$1:$J$1,0)),(INDEX($A$32:$J$44,MATCH($M8,$A$32:$A$44,0),MATCH(O$1,$A$1:$J$1,0))-INDEX($A$32:$J$44,MATCH($M8,$A$32:$A$44,0)-1,MATCH(O$1,$A$1:$J$1,0)))/12+O7)</f>
        <v>9936.9166666666624</v>
      </c>
      <c r="P8" s="46" cm="1">
        <f t="array" ref="P8">IF($N8=12,INDEX($A$32:$J$44,MATCH($M8,$A$32:$A$44,0),MATCH(P$1,$A$1:$J$1,0)),(INDEX($A$32:$J$44,MATCH($M8,$A$32:$A$44,0),MATCH(P$1,$A$1:$J$1,0))-INDEX($A$32:$J$44,MATCH($M8,$A$32:$A$44,0)-1,MATCH(P$1,$A$1:$J$1,0)))/12+P7)</f>
        <v>1195.1666666666672</v>
      </c>
      <c r="Q8" s="46" cm="1">
        <f t="array" ref="Q8">IF($N8=12,INDEX($A$32:$J$44,MATCH($M8,$A$32:$A$44,0),MATCH(Q$1,$A$1:$J$1,0)),(INDEX($A$32:$J$44,MATCH($M8,$A$32:$A$44,0),MATCH(Q$1,$A$1:$J$1,0))-INDEX($A$32:$J$44,MATCH($M8,$A$32:$A$44,0)-1,MATCH(Q$1,$A$1:$J$1,0)))/12+Q7)</f>
        <v>94.1666666666667</v>
      </c>
      <c r="R8" s="46" cm="1">
        <f t="array" ref="R8">IF($N8=12,INDEX($A$32:$J$44,MATCH($M8,$A$32:$A$44,0),MATCH(R$1,$A$1:$J$1,0)),(INDEX($A$32:$J$44,MATCH($M8,$A$32:$A$44,0),MATCH(R$1,$A$1:$J$1,0))-INDEX($A$32:$J$44,MATCH($M8,$A$32:$A$44,0)-1,MATCH(R$1,$A$1:$J$1,0)))/12+R7)</f>
        <v>2790.25</v>
      </c>
      <c r="S8" s="46" cm="1">
        <f t="array" ref="S8">IF($N8=12,INDEX($A$32:$J$44,MATCH($M8,$A$32:$A$44,0),MATCH(S$1,$A$1:$J$1,0)),(INDEX($A$32:$J$44,MATCH($M8,$A$32:$A$44,0),MATCH(S$1,$A$1:$J$1,0))-INDEX($A$32:$J$44,MATCH($M8,$A$32:$A$44,0)-1,MATCH(S$1,$A$1:$J$1,0)))/12+S7)</f>
        <v>32.41666666666665</v>
      </c>
      <c r="T8" s="46" cm="1">
        <f t="array" ref="T8">IF($N8=12,INDEX($A$32:$J$44,MATCH($M8,$A$32:$A$44,0),MATCH(T$1,$A$1:$J$1,0)),(INDEX($A$32:$J$44,MATCH($M8,$A$32:$A$44,0),MATCH(T$1,$A$1:$J$1,0))-INDEX($A$32:$J$44,MATCH($M8,$A$32:$A$44,0)-1,MATCH(T$1,$A$1:$J$1,0)))/12+T7)</f>
        <v>7</v>
      </c>
      <c r="U8" s="46" cm="1">
        <f t="array" ref="U8">IF($N8=12,INDEX($A$32:$J$44,MATCH($M8,$A$32:$A$44,0),MATCH(U$1,$A$1:$J$1,0)),(INDEX($A$32:$J$44,MATCH($M8,$A$32:$A$44,0),MATCH(U$1,$A$1:$J$1,0))-INDEX($A$32:$J$44,MATCH($M8,$A$32:$A$44,0)-1,MATCH(U$1,$A$1:$J$1,0)))/12+U7)</f>
        <v>4</v>
      </c>
      <c r="V8" s="46" cm="1">
        <f t="array" ref="V8">IF($N8=12,INDEX($A$32:$J$44,MATCH($M8,$A$32:$A$44,0),MATCH(V$1,$A$1:$J$1,0)),(INDEX($A$32:$J$44,MATCH($M8,$A$32:$A$44,0),MATCH(V$1,$A$1:$J$1,0))-INDEX($A$32:$J$44,MATCH($M8,$A$32:$A$44,0)-1,MATCH(V$1,$A$1:$J$1,0)))/12+V7)</f>
        <v>14059.916666666662</v>
      </c>
      <c r="W8" s="46" cm="1">
        <f t="array" ref="W8">IF($N8=12,INDEX($A$32:$J$44,MATCH($M8,$A$32:$A$44,0),MATCH(W$1,$A$1:$J$1,0)),(INDEX($A$32:$J$44,MATCH($M8,$A$32:$A$44,0),MATCH(W$1,$A$1:$J$1,0))-INDEX($A$32:$J$44,MATCH($M8,$A$32:$A$44,0)-1,MATCH(W$1,$A$1:$J$1,0)))/12+W7)</f>
        <v>11375.25</v>
      </c>
    </row>
    <row r="9" spans="1:27" x14ac:dyDescent="0.2">
      <c r="A9" s="4">
        <v>2018</v>
      </c>
      <c r="B9" s="80">
        <f t="shared" si="3"/>
        <v>10510.125</v>
      </c>
      <c r="C9" s="80">
        <f t="shared" si="4"/>
        <v>1238</v>
      </c>
      <c r="D9" s="80">
        <f t="shared" si="5"/>
        <v>95.375</v>
      </c>
      <c r="E9" s="80">
        <f t="shared" si="6"/>
        <v>2956.9166666666679</v>
      </c>
      <c r="F9" s="80">
        <f t="shared" si="7"/>
        <v>31.541666666666657</v>
      </c>
      <c r="G9" s="80">
        <f t="shared" si="8"/>
        <v>17</v>
      </c>
      <c r="H9" s="80">
        <f t="shared" si="9"/>
        <v>6</v>
      </c>
      <c r="I9" s="20">
        <f t="shared" si="2"/>
        <v>14854.958333333334</v>
      </c>
      <c r="J9" s="6">
        <f t="shared" si="10"/>
        <v>11994.5</v>
      </c>
      <c r="L9" s="211">
        <f>'Purchased Power Model'!A10</f>
        <v>40756</v>
      </c>
      <c r="M9" s="212">
        <f>'Purchased Power Model'!B10</f>
        <v>2011</v>
      </c>
      <c r="N9" s="212">
        <f>'Purchased Power Model'!C10</f>
        <v>8</v>
      </c>
      <c r="O9" s="46" cm="1">
        <f t="array" ref="O9">IF($N9=12,INDEX($A$32:$J$44,MATCH($M9,$A$32:$A$44,0),MATCH(O$1,$A$1:$J$1,0)),(INDEX($A$32:$J$44,MATCH($M9,$A$32:$A$44,0),MATCH(O$1,$A$1:$J$1,0))-INDEX($A$32:$J$44,MATCH($M9,$A$32:$A$44,0)-1,MATCH(O$1,$A$1:$J$1,0)))/12+O8)</f>
        <v>9942.3333333333285</v>
      </c>
      <c r="P9" s="46" cm="1">
        <f t="array" ref="P9">IF($N9=12,INDEX($A$32:$J$44,MATCH($M9,$A$32:$A$44,0),MATCH(P$1,$A$1:$J$1,0)),(INDEX($A$32:$J$44,MATCH($M9,$A$32:$A$44,0),MATCH(P$1,$A$1:$J$1,0))-INDEX($A$32:$J$44,MATCH($M9,$A$32:$A$44,0)-1,MATCH(P$1,$A$1:$J$1,0)))/12+P8)</f>
        <v>1196.3333333333339</v>
      </c>
      <c r="Q9" s="46" cm="1">
        <f t="array" ref="Q9">IF($N9=12,INDEX($A$32:$J$44,MATCH($M9,$A$32:$A$44,0),MATCH(Q$1,$A$1:$J$1,0)),(INDEX($A$32:$J$44,MATCH($M9,$A$32:$A$44,0),MATCH(Q$1,$A$1:$J$1,0))-INDEX($A$32:$J$44,MATCH($M9,$A$32:$A$44,0)-1,MATCH(Q$1,$A$1:$J$1,0)))/12+Q8)</f>
        <v>93.333333333333371</v>
      </c>
      <c r="R9" s="46" cm="1">
        <f t="array" ref="R9">IF($N9=12,INDEX($A$32:$J$44,MATCH($M9,$A$32:$A$44,0),MATCH(R$1,$A$1:$J$1,0)),(INDEX($A$32:$J$44,MATCH($M9,$A$32:$A$44,0),MATCH(R$1,$A$1:$J$1,0))-INDEX($A$32:$J$44,MATCH($M9,$A$32:$A$44,0)-1,MATCH(R$1,$A$1:$J$1,0)))/12+R8)</f>
        <v>2791</v>
      </c>
      <c r="S9" s="46" cm="1">
        <f t="array" ref="S9">IF($N9=12,INDEX($A$32:$J$44,MATCH($M9,$A$32:$A$44,0),MATCH(S$1,$A$1:$J$1,0)),(INDEX($A$32:$J$44,MATCH($M9,$A$32:$A$44,0),MATCH(S$1,$A$1:$J$1,0))-INDEX($A$32:$J$44,MATCH($M9,$A$32:$A$44,0)-1,MATCH(S$1,$A$1:$J$1,0)))/12+S8)</f>
        <v>32.333333333333314</v>
      </c>
      <c r="T9" s="46" cm="1">
        <f t="array" ref="T9">IF($N9=12,INDEX($A$32:$J$44,MATCH($M9,$A$32:$A$44,0),MATCH(T$1,$A$1:$J$1,0)),(INDEX($A$32:$J$44,MATCH($M9,$A$32:$A$44,0),MATCH(T$1,$A$1:$J$1,0))-INDEX($A$32:$J$44,MATCH($M9,$A$32:$A$44,0)-1,MATCH(T$1,$A$1:$J$1,0)))/12+T8)</f>
        <v>7</v>
      </c>
      <c r="U9" s="46" cm="1">
        <f t="array" ref="U9">IF($N9=12,INDEX($A$32:$J$44,MATCH($M9,$A$32:$A$44,0),MATCH(U$1,$A$1:$J$1,0)),(INDEX($A$32:$J$44,MATCH($M9,$A$32:$A$44,0),MATCH(U$1,$A$1:$J$1,0))-INDEX($A$32:$J$44,MATCH($M9,$A$32:$A$44,0)-1,MATCH(U$1,$A$1:$J$1,0)))/12+U8)</f>
        <v>4</v>
      </c>
      <c r="V9" s="46" cm="1">
        <f t="array" ref="V9">IF($N9=12,INDEX($A$32:$J$44,MATCH($M9,$A$32:$A$44,0),MATCH(V$1,$A$1:$J$1,0)),(INDEX($A$32:$J$44,MATCH($M9,$A$32:$A$44,0),MATCH(V$1,$A$1:$J$1,0))-INDEX($A$32:$J$44,MATCH($M9,$A$32:$A$44,0)-1,MATCH(V$1,$A$1:$J$1,0)))/12+V8)</f>
        <v>14066.333333333328</v>
      </c>
      <c r="W9" s="46" cm="1">
        <f t="array" ref="W9">IF($N9=12,INDEX($A$32:$J$44,MATCH($M9,$A$32:$A$44,0),MATCH(W$1,$A$1:$J$1,0)),(INDEX($A$32:$J$44,MATCH($M9,$A$32:$A$44,0),MATCH(W$1,$A$1:$J$1,0))-INDEX($A$32:$J$44,MATCH($M9,$A$32:$A$44,0)-1,MATCH(W$1,$A$1:$J$1,0)))/12+W8)</f>
        <v>11381</v>
      </c>
    </row>
    <row r="10" spans="1:27" x14ac:dyDescent="0.2">
      <c r="A10" s="4">
        <v>2019</v>
      </c>
      <c r="B10" s="80">
        <f t="shared" si="3"/>
        <v>10635.375</v>
      </c>
      <c r="C10" s="80">
        <f t="shared" si="4"/>
        <v>1237.4583333333337</v>
      </c>
      <c r="D10" s="80">
        <f t="shared" si="5"/>
        <v>95.083333333333371</v>
      </c>
      <c r="E10" s="80">
        <f t="shared" si="6"/>
        <v>2993.1666666666679</v>
      </c>
      <c r="F10" s="80">
        <f t="shared" si="7"/>
        <v>32</v>
      </c>
      <c r="G10" s="80">
        <f t="shared" si="8"/>
        <v>17</v>
      </c>
      <c r="H10" s="80">
        <f t="shared" si="9"/>
        <v>6</v>
      </c>
      <c r="I10" s="20">
        <f t="shared" si="2"/>
        <v>15016.083333333336</v>
      </c>
      <c r="J10" s="6">
        <f t="shared" si="10"/>
        <v>12118.916666666668</v>
      </c>
      <c r="L10" s="211">
        <f>'Purchased Power Model'!A11</f>
        <v>40787</v>
      </c>
      <c r="M10" s="212">
        <f>'Purchased Power Model'!B11</f>
        <v>2011</v>
      </c>
      <c r="N10" s="212">
        <f>'Purchased Power Model'!C11</f>
        <v>9</v>
      </c>
      <c r="O10" s="46" cm="1">
        <f t="array" ref="O10">IF($N10=12,INDEX($A$32:$J$44,MATCH($M10,$A$32:$A$44,0),MATCH(O$1,$A$1:$J$1,0)),(INDEX($A$32:$J$44,MATCH($M10,$A$32:$A$44,0),MATCH(O$1,$A$1:$J$1,0))-INDEX($A$32:$J$44,MATCH($M10,$A$32:$A$44,0)-1,MATCH(O$1,$A$1:$J$1,0)))/12+O9)</f>
        <v>9947.7499999999945</v>
      </c>
      <c r="P10" s="46" cm="1">
        <f t="array" ref="P10">IF($N10=12,INDEX($A$32:$J$44,MATCH($M10,$A$32:$A$44,0),MATCH(P$1,$A$1:$J$1,0)),(INDEX($A$32:$J$44,MATCH($M10,$A$32:$A$44,0),MATCH(P$1,$A$1:$J$1,0))-INDEX($A$32:$J$44,MATCH($M10,$A$32:$A$44,0)-1,MATCH(P$1,$A$1:$J$1,0)))/12+P9)</f>
        <v>1197.5000000000007</v>
      </c>
      <c r="Q10" s="46" cm="1">
        <f t="array" ref="Q10">IF($N10=12,INDEX($A$32:$J$44,MATCH($M10,$A$32:$A$44,0),MATCH(Q$1,$A$1:$J$1,0)),(INDEX($A$32:$J$44,MATCH($M10,$A$32:$A$44,0),MATCH(Q$1,$A$1:$J$1,0))-INDEX($A$32:$J$44,MATCH($M10,$A$32:$A$44,0)-1,MATCH(Q$1,$A$1:$J$1,0)))/12+Q9)</f>
        <v>92.500000000000043</v>
      </c>
      <c r="R10" s="46" cm="1">
        <f t="array" ref="R10">IF($N10=12,INDEX($A$32:$J$44,MATCH($M10,$A$32:$A$44,0),MATCH(R$1,$A$1:$J$1,0)),(INDEX($A$32:$J$44,MATCH($M10,$A$32:$A$44,0),MATCH(R$1,$A$1:$J$1,0))-INDEX($A$32:$J$44,MATCH($M10,$A$32:$A$44,0)-1,MATCH(R$1,$A$1:$J$1,0)))/12+R9)</f>
        <v>2791.75</v>
      </c>
      <c r="S10" s="46" cm="1">
        <f t="array" ref="S10">IF($N10=12,INDEX($A$32:$J$44,MATCH($M10,$A$32:$A$44,0),MATCH(S$1,$A$1:$J$1,0)),(INDEX($A$32:$J$44,MATCH($M10,$A$32:$A$44,0),MATCH(S$1,$A$1:$J$1,0))-INDEX($A$32:$J$44,MATCH($M10,$A$32:$A$44,0)-1,MATCH(S$1,$A$1:$J$1,0)))/12+S9)</f>
        <v>32.249999999999979</v>
      </c>
      <c r="T10" s="46" cm="1">
        <f t="array" ref="T10">IF($N10=12,INDEX($A$32:$J$44,MATCH($M10,$A$32:$A$44,0),MATCH(T$1,$A$1:$J$1,0)),(INDEX($A$32:$J$44,MATCH($M10,$A$32:$A$44,0),MATCH(T$1,$A$1:$J$1,0))-INDEX($A$32:$J$44,MATCH($M10,$A$32:$A$44,0)-1,MATCH(T$1,$A$1:$J$1,0)))/12+T9)</f>
        <v>7</v>
      </c>
      <c r="U10" s="46" cm="1">
        <f t="array" ref="U10">IF($N10=12,INDEX($A$32:$J$44,MATCH($M10,$A$32:$A$44,0),MATCH(U$1,$A$1:$J$1,0)),(INDEX($A$32:$J$44,MATCH($M10,$A$32:$A$44,0),MATCH(U$1,$A$1:$J$1,0))-INDEX($A$32:$J$44,MATCH($M10,$A$32:$A$44,0)-1,MATCH(U$1,$A$1:$J$1,0)))/12+U9)</f>
        <v>4</v>
      </c>
      <c r="V10" s="46" cm="1">
        <f t="array" ref="V10">IF($N10=12,INDEX($A$32:$J$44,MATCH($M10,$A$32:$A$44,0),MATCH(V$1,$A$1:$J$1,0)),(INDEX($A$32:$J$44,MATCH($M10,$A$32:$A$44,0),MATCH(V$1,$A$1:$J$1,0))-INDEX($A$32:$J$44,MATCH($M10,$A$32:$A$44,0)-1,MATCH(V$1,$A$1:$J$1,0)))/12+V9)</f>
        <v>14072.749999999995</v>
      </c>
      <c r="W10" s="46" cm="1">
        <f t="array" ref="W10">IF($N10=12,INDEX($A$32:$J$44,MATCH($M10,$A$32:$A$44,0),MATCH(W$1,$A$1:$J$1,0)),(INDEX($A$32:$J$44,MATCH($M10,$A$32:$A$44,0),MATCH(W$1,$A$1:$J$1,0))-INDEX($A$32:$J$44,MATCH($M10,$A$32:$A$44,0)-1,MATCH(W$1,$A$1:$J$1,0)))/12+W9)</f>
        <v>11386.75</v>
      </c>
      <c r="X10" s="46"/>
    </row>
    <row r="11" spans="1:27" x14ac:dyDescent="0.2">
      <c r="A11" s="4">
        <v>2020</v>
      </c>
      <c r="B11" s="80">
        <f t="shared" si="3"/>
        <v>10782.70833333333</v>
      </c>
      <c r="C11" s="80">
        <f t="shared" si="4"/>
        <v>1245.6666666666663</v>
      </c>
      <c r="D11" s="80">
        <f t="shared" si="5"/>
        <v>97.083333333333371</v>
      </c>
      <c r="E11" s="80">
        <f t="shared" si="6"/>
        <v>3046.0833333333321</v>
      </c>
      <c r="F11" s="80">
        <f t="shared" si="7"/>
        <v>32</v>
      </c>
      <c r="G11" s="80">
        <f t="shared" si="8"/>
        <v>17</v>
      </c>
      <c r="H11" s="80">
        <f t="shared" si="9"/>
        <v>6</v>
      </c>
      <c r="I11" s="20">
        <f t="shared" si="2"/>
        <v>15226.541666666662</v>
      </c>
      <c r="J11" s="6">
        <f t="shared" si="10"/>
        <v>12276.45833333333</v>
      </c>
      <c r="L11" s="211">
        <f>'Purchased Power Model'!A12</f>
        <v>40817</v>
      </c>
      <c r="M11" s="212">
        <f>'Purchased Power Model'!B12</f>
        <v>2011</v>
      </c>
      <c r="N11" s="212">
        <f>'Purchased Power Model'!C12</f>
        <v>10</v>
      </c>
      <c r="O11" s="46" cm="1">
        <f t="array" ref="O11">IF($N11=12,INDEX($A$32:$J$44,MATCH($M11,$A$32:$A$44,0),MATCH(O$1,$A$1:$J$1,0)),(INDEX($A$32:$J$44,MATCH($M11,$A$32:$A$44,0),MATCH(O$1,$A$1:$J$1,0))-INDEX($A$32:$J$44,MATCH($M11,$A$32:$A$44,0)-1,MATCH(O$1,$A$1:$J$1,0)))/12+O10)</f>
        <v>9953.1666666666606</v>
      </c>
      <c r="P11" s="46" cm="1">
        <f t="array" ref="P11">IF($N11=12,INDEX($A$32:$J$44,MATCH($M11,$A$32:$A$44,0),MATCH(P$1,$A$1:$J$1,0)),(INDEX($A$32:$J$44,MATCH($M11,$A$32:$A$44,0),MATCH(P$1,$A$1:$J$1,0))-INDEX($A$32:$J$44,MATCH($M11,$A$32:$A$44,0)-1,MATCH(P$1,$A$1:$J$1,0)))/12+P10)</f>
        <v>1198.6666666666674</v>
      </c>
      <c r="Q11" s="46" cm="1">
        <f t="array" ref="Q11">IF($N11=12,INDEX($A$32:$J$44,MATCH($M11,$A$32:$A$44,0),MATCH(Q$1,$A$1:$J$1,0)),(INDEX($A$32:$J$44,MATCH($M11,$A$32:$A$44,0),MATCH(Q$1,$A$1:$J$1,0))-INDEX($A$32:$J$44,MATCH($M11,$A$32:$A$44,0)-1,MATCH(Q$1,$A$1:$J$1,0)))/12+Q10)</f>
        <v>91.666666666666714</v>
      </c>
      <c r="R11" s="46" cm="1">
        <f t="array" ref="R11">IF($N11=12,INDEX($A$32:$J$44,MATCH($M11,$A$32:$A$44,0),MATCH(R$1,$A$1:$J$1,0)),(INDEX($A$32:$J$44,MATCH($M11,$A$32:$A$44,0),MATCH(R$1,$A$1:$J$1,0))-INDEX($A$32:$J$44,MATCH($M11,$A$32:$A$44,0)-1,MATCH(R$1,$A$1:$J$1,0)))/12+R10)</f>
        <v>2792.5</v>
      </c>
      <c r="S11" s="46" cm="1">
        <f t="array" ref="S11">IF($N11=12,INDEX($A$32:$J$44,MATCH($M11,$A$32:$A$44,0),MATCH(S$1,$A$1:$J$1,0)),(INDEX($A$32:$J$44,MATCH($M11,$A$32:$A$44,0),MATCH(S$1,$A$1:$J$1,0))-INDEX($A$32:$J$44,MATCH($M11,$A$32:$A$44,0)-1,MATCH(S$1,$A$1:$J$1,0)))/12+S10)</f>
        <v>32.166666666666643</v>
      </c>
      <c r="T11" s="46" cm="1">
        <f t="array" ref="T11">IF($N11=12,INDEX($A$32:$J$44,MATCH($M11,$A$32:$A$44,0),MATCH(T$1,$A$1:$J$1,0)),(INDEX($A$32:$J$44,MATCH($M11,$A$32:$A$44,0),MATCH(T$1,$A$1:$J$1,0))-INDEX($A$32:$J$44,MATCH($M11,$A$32:$A$44,0)-1,MATCH(T$1,$A$1:$J$1,0)))/12+T10)</f>
        <v>7</v>
      </c>
      <c r="U11" s="46" cm="1">
        <f t="array" ref="U11">IF($N11=12,INDEX($A$32:$J$44,MATCH($M11,$A$32:$A$44,0),MATCH(U$1,$A$1:$J$1,0)),(INDEX($A$32:$J$44,MATCH($M11,$A$32:$A$44,0),MATCH(U$1,$A$1:$J$1,0))-INDEX($A$32:$J$44,MATCH($M11,$A$32:$A$44,0)-1,MATCH(U$1,$A$1:$J$1,0)))/12+U10)</f>
        <v>4</v>
      </c>
      <c r="V11" s="46" cm="1">
        <f t="array" ref="V11">IF($N11=12,INDEX($A$32:$J$44,MATCH($M11,$A$32:$A$44,0),MATCH(V$1,$A$1:$J$1,0)),(INDEX($A$32:$J$44,MATCH($M11,$A$32:$A$44,0),MATCH(V$1,$A$1:$J$1,0))-INDEX($A$32:$J$44,MATCH($M11,$A$32:$A$44,0)-1,MATCH(V$1,$A$1:$J$1,0)))/12+V10)</f>
        <v>14079.166666666661</v>
      </c>
      <c r="W11" s="46" cm="1">
        <f t="array" ref="W11">IF($N11=12,INDEX($A$32:$J$44,MATCH($M11,$A$32:$A$44,0),MATCH(W$1,$A$1:$J$1,0)),(INDEX($A$32:$J$44,MATCH($M11,$A$32:$A$44,0),MATCH(W$1,$A$1:$J$1,0))-INDEX($A$32:$J$44,MATCH($M11,$A$32:$A$44,0)-1,MATCH(W$1,$A$1:$J$1,0)))/12+W10)</f>
        <v>11392.5</v>
      </c>
      <c r="X11" s="46"/>
    </row>
    <row r="12" spans="1:27" x14ac:dyDescent="0.2">
      <c r="A12" s="223">
        <v>2021</v>
      </c>
      <c r="B12" s="224">
        <f>B11*B28</f>
        <v>10881.350831962012</v>
      </c>
      <c r="C12" s="224">
        <f t="shared" ref="C12:H12" si="11">C11*C28</f>
        <v>1251.475760320297</v>
      </c>
      <c r="D12" s="224">
        <f t="shared" si="11"/>
        <v>97.365158527751774</v>
      </c>
      <c r="E12" s="224">
        <f t="shared" si="11"/>
        <v>3075.9654352079997</v>
      </c>
      <c r="F12" s="224">
        <f t="shared" si="11"/>
        <v>32</v>
      </c>
      <c r="G12" s="224">
        <f t="shared" si="11"/>
        <v>17</v>
      </c>
      <c r="H12" s="224">
        <f t="shared" si="11"/>
        <v>6</v>
      </c>
      <c r="I12" s="224">
        <f t="shared" si="2"/>
        <v>15361.157186018059</v>
      </c>
      <c r="J12" s="219">
        <f>B12+C12+D12+H12+145</f>
        <v>12381.19175081006</v>
      </c>
      <c r="L12" s="211">
        <f>'Purchased Power Model'!A13</f>
        <v>40848</v>
      </c>
      <c r="M12" s="212">
        <f>'Purchased Power Model'!B13</f>
        <v>2011</v>
      </c>
      <c r="N12" s="212">
        <f>'Purchased Power Model'!C13</f>
        <v>11</v>
      </c>
      <c r="O12" s="46" cm="1">
        <f t="array" ref="O12">IF($N12=12,INDEX($A$32:$J$44,MATCH($M12,$A$32:$A$44,0),MATCH(O$1,$A$1:$J$1,0)),(INDEX($A$32:$J$44,MATCH($M12,$A$32:$A$44,0),MATCH(O$1,$A$1:$J$1,0))-INDEX($A$32:$J$44,MATCH($M12,$A$32:$A$44,0)-1,MATCH(O$1,$A$1:$J$1,0)))/12+O11)</f>
        <v>9958.5833333333267</v>
      </c>
      <c r="P12" s="46" cm="1">
        <f t="array" ref="P12">IF($N12=12,INDEX($A$32:$J$44,MATCH($M12,$A$32:$A$44,0),MATCH(P$1,$A$1:$J$1,0)),(INDEX($A$32:$J$44,MATCH($M12,$A$32:$A$44,0),MATCH(P$1,$A$1:$J$1,0))-INDEX($A$32:$J$44,MATCH($M12,$A$32:$A$44,0)-1,MATCH(P$1,$A$1:$J$1,0)))/12+P11)</f>
        <v>1199.8333333333342</v>
      </c>
      <c r="Q12" s="46" cm="1">
        <f t="array" ref="Q12">IF($N12=12,INDEX($A$32:$J$44,MATCH($M12,$A$32:$A$44,0),MATCH(Q$1,$A$1:$J$1,0)),(INDEX($A$32:$J$44,MATCH($M12,$A$32:$A$44,0),MATCH(Q$1,$A$1:$J$1,0))-INDEX($A$32:$J$44,MATCH($M12,$A$32:$A$44,0)-1,MATCH(Q$1,$A$1:$J$1,0)))/12+Q11)</f>
        <v>90.833333333333385</v>
      </c>
      <c r="R12" s="46" cm="1">
        <f t="array" ref="R12">IF($N12=12,INDEX($A$32:$J$44,MATCH($M12,$A$32:$A$44,0),MATCH(R$1,$A$1:$J$1,0)),(INDEX($A$32:$J$44,MATCH($M12,$A$32:$A$44,0),MATCH(R$1,$A$1:$J$1,0))-INDEX($A$32:$J$44,MATCH($M12,$A$32:$A$44,0)-1,MATCH(R$1,$A$1:$J$1,0)))/12+R11)</f>
        <v>2793.25</v>
      </c>
      <c r="S12" s="46" cm="1">
        <f t="array" ref="S12">IF($N12=12,INDEX($A$32:$J$44,MATCH($M12,$A$32:$A$44,0),MATCH(S$1,$A$1:$J$1,0)),(INDEX($A$32:$J$44,MATCH($M12,$A$32:$A$44,0),MATCH(S$1,$A$1:$J$1,0))-INDEX($A$32:$J$44,MATCH($M12,$A$32:$A$44,0)-1,MATCH(S$1,$A$1:$J$1,0)))/12+S11)</f>
        <v>32.083333333333307</v>
      </c>
      <c r="T12" s="46" cm="1">
        <f t="array" ref="T12">IF($N12=12,INDEX($A$32:$J$44,MATCH($M12,$A$32:$A$44,0),MATCH(T$1,$A$1:$J$1,0)),(INDEX($A$32:$J$44,MATCH($M12,$A$32:$A$44,0),MATCH(T$1,$A$1:$J$1,0))-INDEX($A$32:$J$44,MATCH($M12,$A$32:$A$44,0)-1,MATCH(T$1,$A$1:$J$1,0)))/12+T11)</f>
        <v>7</v>
      </c>
      <c r="U12" s="46" cm="1">
        <f t="array" ref="U12">IF($N12=12,INDEX($A$32:$J$44,MATCH($M12,$A$32:$A$44,0),MATCH(U$1,$A$1:$J$1,0)),(INDEX($A$32:$J$44,MATCH($M12,$A$32:$A$44,0),MATCH(U$1,$A$1:$J$1,0))-INDEX($A$32:$J$44,MATCH($M12,$A$32:$A$44,0)-1,MATCH(U$1,$A$1:$J$1,0)))/12+U11)</f>
        <v>4</v>
      </c>
      <c r="V12" s="46" cm="1">
        <f t="array" ref="V12">IF($N12=12,INDEX($A$32:$J$44,MATCH($M12,$A$32:$A$44,0),MATCH(V$1,$A$1:$J$1,0)),(INDEX($A$32:$J$44,MATCH($M12,$A$32:$A$44,0),MATCH(V$1,$A$1:$J$1,0))-INDEX($A$32:$J$44,MATCH($M12,$A$32:$A$44,0)-1,MATCH(V$1,$A$1:$J$1,0)))/12+V11)</f>
        <v>14085.583333333327</v>
      </c>
      <c r="W12" s="46" cm="1">
        <f t="array" ref="W12">IF($N12=12,INDEX($A$32:$J$44,MATCH($M12,$A$32:$A$44,0),MATCH(W$1,$A$1:$J$1,0)),(INDEX($A$32:$J$44,MATCH($M12,$A$32:$A$44,0),MATCH(W$1,$A$1:$J$1,0))-INDEX($A$32:$J$44,MATCH($M12,$A$32:$A$44,0)-1,MATCH(W$1,$A$1:$J$1,0)))/12+W11)</f>
        <v>11398.25</v>
      </c>
      <c r="X12" s="46"/>
    </row>
    <row r="13" spans="1:27" x14ac:dyDescent="0.2">
      <c r="A13" s="223">
        <v>2022</v>
      </c>
      <c r="B13" s="224">
        <f>B12*B28</f>
        <v>10980.895733051644</v>
      </c>
      <c r="C13" s="224">
        <f t="shared" ref="C13:H13" si="12">C12*C28</f>
        <v>1257.3119443424666</v>
      </c>
      <c r="D13" s="224">
        <f t="shared" si="12"/>
        <v>97.647801838292494</v>
      </c>
      <c r="E13" s="224">
        <f t="shared" si="12"/>
        <v>3106.1406807411736</v>
      </c>
      <c r="F13" s="224">
        <f t="shared" si="12"/>
        <v>32</v>
      </c>
      <c r="G13" s="224">
        <f t="shared" si="12"/>
        <v>17</v>
      </c>
      <c r="H13" s="224">
        <f t="shared" si="12"/>
        <v>6</v>
      </c>
      <c r="I13" s="224">
        <f t="shared" si="2"/>
        <v>15496.996159973578</v>
      </c>
      <c r="J13" s="219">
        <f>B13+C13+D13+H13+145</f>
        <v>12486.855479232405</v>
      </c>
      <c r="L13" s="211">
        <f>'Purchased Power Model'!A14</f>
        <v>40878</v>
      </c>
      <c r="M13" s="212">
        <f>'Purchased Power Model'!B14</f>
        <v>2011</v>
      </c>
      <c r="N13" s="212">
        <f>'Purchased Power Model'!C14</f>
        <v>12</v>
      </c>
      <c r="O13" s="46" cm="1">
        <f t="array" ref="O13">IF($N13=12,INDEX($A$32:$J$44,MATCH($M13,$A$32:$A$44,0),MATCH(O$1,$A$1:$J$1,0)),(INDEX($A$32:$J$44,MATCH($M13,$A$32:$A$44,0),MATCH(O$1,$A$1:$J$1,0))-INDEX($A$32:$J$44,MATCH($M13,$A$32:$A$44,0)-1,MATCH(O$1,$A$1:$J$1,0)))/12+O12)</f>
        <v>9964</v>
      </c>
      <c r="P13" s="46" cm="1">
        <f t="array" ref="P13">IF($N13=12,INDEX($A$32:$J$44,MATCH($M13,$A$32:$A$44,0),MATCH(P$1,$A$1:$J$1,0)),(INDEX($A$32:$J$44,MATCH($M13,$A$32:$A$44,0),MATCH(P$1,$A$1:$J$1,0))-INDEX($A$32:$J$44,MATCH($M13,$A$32:$A$44,0)-1,MATCH(P$1,$A$1:$J$1,0)))/12+P12)</f>
        <v>1201</v>
      </c>
      <c r="Q13" s="46" cm="1">
        <f t="array" ref="Q13">IF($N13=12,INDEX($A$32:$J$44,MATCH($M13,$A$32:$A$44,0),MATCH(Q$1,$A$1:$J$1,0)),(INDEX($A$32:$J$44,MATCH($M13,$A$32:$A$44,0),MATCH(Q$1,$A$1:$J$1,0))-INDEX($A$32:$J$44,MATCH($M13,$A$32:$A$44,0)-1,MATCH(Q$1,$A$1:$J$1,0)))/12+Q12)</f>
        <v>90</v>
      </c>
      <c r="R13" s="46" cm="1">
        <f t="array" ref="R13">IF($N13=12,INDEX($A$32:$J$44,MATCH($M13,$A$32:$A$44,0),MATCH(R$1,$A$1:$J$1,0)),(INDEX($A$32:$J$44,MATCH($M13,$A$32:$A$44,0),MATCH(R$1,$A$1:$J$1,0))-INDEX($A$32:$J$44,MATCH($M13,$A$32:$A$44,0)-1,MATCH(R$1,$A$1:$J$1,0)))/12+R12)</f>
        <v>2794</v>
      </c>
      <c r="S13" s="46" cm="1">
        <f t="array" ref="S13">IF($N13=12,INDEX($A$32:$J$44,MATCH($M13,$A$32:$A$44,0),MATCH(S$1,$A$1:$J$1,0)),(INDEX($A$32:$J$44,MATCH($M13,$A$32:$A$44,0),MATCH(S$1,$A$1:$J$1,0))-INDEX($A$32:$J$44,MATCH($M13,$A$32:$A$44,0)-1,MATCH(S$1,$A$1:$J$1,0)))/12+S12)</f>
        <v>32</v>
      </c>
      <c r="T13" s="46" cm="1">
        <f t="array" ref="T13">IF($N13=12,INDEX($A$32:$J$44,MATCH($M13,$A$32:$A$44,0),MATCH(T$1,$A$1:$J$1,0)),(INDEX($A$32:$J$44,MATCH($M13,$A$32:$A$44,0),MATCH(T$1,$A$1:$J$1,0))-INDEX($A$32:$J$44,MATCH($M13,$A$32:$A$44,0)-1,MATCH(T$1,$A$1:$J$1,0)))/12+T12)</f>
        <v>7</v>
      </c>
      <c r="U13" s="46" cm="1">
        <f t="array" ref="U13">IF($N13=12,INDEX($A$32:$J$44,MATCH($M13,$A$32:$A$44,0),MATCH(U$1,$A$1:$J$1,0)),(INDEX($A$32:$J$44,MATCH($M13,$A$32:$A$44,0),MATCH(U$1,$A$1:$J$1,0))-INDEX($A$32:$J$44,MATCH($M13,$A$32:$A$44,0)-1,MATCH(U$1,$A$1:$J$1,0)))/12+U12)</f>
        <v>4</v>
      </c>
      <c r="V13" s="46" cm="1">
        <f t="array" ref="V13">IF($N13=12,INDEX($A$32:$J$44,MATCH($M13,$A$32:$A$44,0),MATCH(V$1,$A$1:$J$1,0)),(INDEX($A$32:$J$44,MATCH($M13,$A$32:$A$44,0),MATCH(V$1,$A$1:$J$1,0))-INDEX($A$32:$J$44,MATCH($M13,$A$32:$A$44,0)-1,MATCH(V$1,$A$1:$J$1,0)))/12+V12)</f>
        <v>14092</v>
      </c>
      <c r="W13" s="46" cm="1">
        <f t="array" ref="W13">IF($N13=12,INDEX($A$32:$J$44,MATCH($M13,$A$32:$A$44,0),MATCH(W$1,$A$1:$J$1,0)),(INDEX($A$32:$J$44,MATCH($M13,$A$32:$A$44,0),MATCH(W$1,$A$1:$J$1,0))-INDEX($A$32:$J$44,MATCH($M13,$A$32:$A$44,0)-1,MATCH(W$1,$A$1:$J$1,0)))/12+W12)</f>
        <v>11404</v>
      </c>
      <c r="X13" s="46"/>
    </row>
    <row r="14" spans="1:27" x14ac:dyDescent="0.2">
      <c r="A14" s="4"/>
      <c r="B14" s="20"/>
      <c r="C14" s="20"/>
      <c r="D14" s="20"/>
      <c r="E14" s="20"/>
      <c r="F14" s="20"/>
      <c r="G14" s="20"/>
      <c r="H14" s="20"/>
      <c r="I14" s="20"/>
      <c r="L14" s="211">
        <f>'Purchased Power Model'!A15</f>
        <v>40909</v>
      </c>
      <c r="M14" s="212">
        <f>'Purchased Power Model'!B15</f>
        <v>2012</v>
      </c>
      <c r="N14" s="212">
        <f>'Purchased Power Model'!C15</f>
        <v>1</v>
      </c>
      <c r="O14" s="46" cm="1">
        <f t="array" ref="O14">IF($N14=12,INDEX($A$32:$J$44,MATCH($M14,$A$32:$A$44,0),MATCH(O$1,$A$1:$J$1,0)),(INDEX($A$32:$J$44,MATCH($M14,$A$32:$A$44,0),MATCH(O$1,$A$1:$J$1,0))-INDEX($A$32:$J$44,MATCH($M14,$A$32:$A$44,0)-1,MATCH(O$1,$A$1:$J$1,0)))/12+O13)</f>
        <v>9971.25</v>
      </c>
      <c r="P14" s="46" cm="1">
        <f t="array" ref="P14">IF($N14=12,INDEX($A$32:$J$44,MATCH($M14,$A$32:$A$44,0),MATCH(P$1,$A$1:$J$1,0)),(INDEX($A$32:$J$44,MATCH($M14,$A$32:$A$44,0),MATCH(P$1,$A$1:$J$1,0))-INDEX($A$32:$J$44,MATCH($M14,$A$32:$A$44,0)-1,MATCH(P$1,$A$1:$J$1,0)))/12+P13)</f>
        <v>1201.6666666666667</v>
      </c>
      <c r="Q14" s="46" cm="1">
        <f t="array" ref="Q14">IF($N14=12,INDEX($A$32:$J$44,MATCH($M14,$A$32:$A$44,0),MATCH(Q$1,$A$1:$J$1,0)),(INDEX($A$32:$J$44,MATCH($M14,$A$32:$A$44,0),MATCH(Q$1,$A$1:$J$1,0))-INDEX($A$32:$J$44,MATCH($M14,$A$32:$A$44,0)-1,MATCH(Q$1,$A$1:$J$1,0)))/12+Q13)</f>
        <v>89.833333333333329</v>
      </c>
      <c r="R14" s="46" cm="1">
        <f t="array" ref="R14">IF($N14=12,INDEX($A$32:$J$44,MATCH($M14,$A$32:$A$44,0),MATCH(R$1,$A$1:$J$1,0)),(INDEX($A$32:$J$44,MATCH($M14,$A$32:$A$44,0),MATCH(R$1,$A$1:$J$1,0))-INDEX($A$32:$J$44,MATCH($M14,$A$32:$A$44,0)-1,MATCH(R$1,$A$1:$J$1,0)))/12+R13)</f>
        <v>2794.75</v>
      </c>
      <c r="S14" s="46" cm="1">
        <f t="array" ref="S14">IF($N14=12,INDEX($A$32:$J$44,MATCH($M14,$A$32:$A$44,0),MATCH(S$1,$A$1:$J$1,0)),(INDEX($A$32:$J$44,MATCH($M14,$A$32:$A$44,0),MATCH(S$1,$A$1:$J$1,0))-INDEX($A$32:$J$44,MATCH($M14,$A$32:$A$44,0)-1,MATCH(S$1,$A$1:$J$1,0)))/12+S13)</f>
        <v>31.916666666666668</v>
      </c>
      <c r="T14" s="46" cm="1">
        <f t="array" ref="T14">IF($N14=12,INDEX($A$32:$J$44,MATCH($M14,$A$32:$A$44,0),MATCH(T$1,$A$1:$J$1,0)),(INDEX($A$32:$J$44,MATCH($M14,$A$32:$A$44,0),MATCH(T$1,$A$1:$J$1,0))-INDEX($A$32:$J$44,MATCH($M14,$A$32:$A$44,0)-1,MATCH(T$1,$A$1:$J$1,0)))/12+T13)</f>
        <v>7</v>
      </c>
      <c r="U14" s="46" cm="1">
        <f t="array" ref="U14">IF($N14=12,INDEX($A$32:$J$44,MATCH($M14,$A$32:$A$44,0),MATCH(U$1,$A$1:$J$1,0)),(INDEX($A$32:$J$44,MATCH($M14,$A$32:$A$44,0),MATCH(U$1,$A$1:$J$1,0))-INDEX($A$32:$J$44,MATCH($M14,$A$32:$A$44,0)-1,MATCH(U$1,$A$1:$J$1,0)))/12+U13)</f>
        <v>4</v>
      </c>
      <c r="V14" s="46" cm="1">
        <f t="array" ref="V14">IF($N14=12,INDEX($A$32:$J$44,MATCH($M14,$A$32:$A$44,0),MATCH(V$1,$A$1:$J$1,0)),(INDEX($A$32:$J$44,MATCH($M14,$A$32:$A$44,0),MATCH(V$1,$A$1:$J$1,0))-INDEX($A$32:$J$44,MATCH($M14,$A$32:$A$44,0)-1,MATCH(V$1,$A$1:$J$1,0)))/12+V13)</f>
        <v>14100.416666666666</v>
      </c>
      <c r="W14" s="46" cm="1">
        <f t="array" ref="W14">IF($N14=12,INDEX($A$32:$J$44,MATCH($M14,$A$32:$A$44,0),MATCH(W$1,$A$1:$J$1,0)),(INDEX($A$32:$J$44,MATCH($M14,$A$32:$A$44,0),MATCH(W$1,$A$1:$J$1,0))-INDEX($A$32:$J$44,MATCH($M14,$A$32:$A$44,0)-1,MATCH(W$1,$A$1:$J$1,0)))/12+W13)</f>
        <v>11411.75</v>
      </c>
      <c r="X14" s="46"/>
    </row>
    <row r="15" spans="1:27" x14ac:dyDescent="0.2">
      <c r="A15" s="14"/>
      <c r="E15" s="43"/>
      <c r="L15" s="211">
        <f>'Purchased Power Model'!A16</f>
        <v>40940</v>
      </c>
      <c r="M15" s="212">
        <f>'Purchased Power Model'!B16</f>
        <v>2012</v>
      </c>
      <c r="N15" s="212">
        <f>'Purchased Power Model'!C16</f>
        <v>2</v>
      </c>
      <c r="O15" s="46" cm="1">
        <f t="array" ref="O15">IF($N15=12,INDEX($A$32:$J$44,MATCH($M15,$A$32:$A$44,0),MATCH(O$1,$A$1:$J$1,0)),(INDEX($A$32:$J$44,MATCH($M15,$A$32:$A$44,0),MATCH(O$1,$A$1:$J$1,0))-INDEX($A$32:$J$44,MATCH($M15,$A$32:$A$44,0)-1,MATCH(O$1,$A$1:$J$1,0)))/12+O14)</f>
        <v>9978.5</v>
      </c>
      <c r="P15" s="46" cm="1">
        <f t="array" ref="P15">IF($N15=12,INDEX($A$32:$J$44,MATCH($M15,$A$32:$A$44,0),MATCH(P$1,$A$1:$J$1,0)),(INDEX($A$32:$J$44,MATCH($M15,$A$32:$A$44,0),MATCH(P$1,$A$1:$J$1,0))-INDEX($A$32:$J$44,MATCH($M15,$A$32:$A$44,0)-1,MATCH(P$1,$A$1:$J$1,0)))/12+P14)</f>
        <v>1202.3333333333335</v>
      </c>
      <c r="Q15" s="46" cm="1">
        <f t="array" ref="Q15">IF($N15=12,INDEX($A$32:$J$44,MATCH($M15,$A$32:$A$44,0),MATCH(Q$1,$A$1:$J$1,0)),(INDEX($A$32:$J$44,MATCH($M15,$A$32:$A$44,0),MATCH(Q$1,$A$1:$J$1,0))-INDEX($A$32:$J$44,MATCH($M15,$A$32:$A$44,0)-1,MATCH(Q$1,$A$1:$J$1,0)))/12+Q14)</f>
        <v>89.666666666666657</v>
      </c>
      <c r="R15" s="46" cm="1">
        <f t="array" ref="R15">IF($N15=12,INDEX($A$32:$J$44,MATCH($M15,$A$32:$A$44,0),MATCH(R$1,$A$1:$J$1,0)),(INDEX($A$32:$J$44,MATCH($M15,$A$32:$A$44,0),MATCH(R$1,$A$1:$J$1,0))-INDEX($A$32:$J$44,MATCH($M15,$A$32:$A$44,0)-1,MATCH(R$1,$A$1:$J$1,0)))/12+R14)</f>
        <v>2795.5</v>
      </c>
      <c r="S15" s="46" cm="1">
        <f t="array" ref="S15">IF($N15=12,INDEX($A$32:$J$44,MATCH($M15,$A$32:$A$44,0),MATCH(S$1,$A$1:$J$1,0)),(INDEX($A$32:$J$44,MATCH($M15,$A$32:$A$44,0),MATCH(S$1,$A$1:$J$1,0))-INDEX($A$32:$J$44,MATCH($M15,$A$32:$A$44,0)-1,MATCH(S$1,$A$1:$J$1,0)))/12+S14)</f>
        <v>31.833333333333336</v>
      </c>
      <c r="T15" s="46" cm="1">
        <f t="array" ref="T15">IF($N15=12,INDEX($A$32:$J$44,MATCH($M15,$A$32:$A$44,0),MATCH(T$1,$A$1:$J$1,0)),(INDEX($A$32:$J$44,MATCH($M15,$A$32:$A$44,0),MATCH(T$1,$A$1:$J$1,0))-INDEX($A$32:$J$44,MATCH($M15,$A$32:$A$44,0)-1,MATCH(T$1,$A$1:$J$1,0)))/12+T14)</f>
        <v>7</v>
      </c>
      <c r="U15" s="46" cm="1">
        <f t="array" ref="U15">IF($N15=12,INDEX($A$32:$J$44,MATCH($M15,$A$32:$A$44,0),MATCH(U$1,$A$1:$J$1,0)),(INDEX($A$32:$J$44,MATCH($M15,$A$32:$A$44,0),MATCH(U$1,$A$1:$J$1,0))-INDEX($A$32:$J$44,MATCH($M15,$A$32:$A$44,0)-1,MATCH(U$1,$A$1:$J$1,0)))/12+U14)</f>
        <v>4</v>
      </c>
      <c r="V15" s="46" cm="1">
        <f t="array" ref="V15">IF($N15=12,INDEX($A$32:$J$44,MATCH($M15,$A$32:$A$44,0),MATCH(V$1,$A$1:$J$1,0)),(INDEX($A$32:$J$44,MATCH($M15,$A$32:$A$44,0),MATCH(V$1,$A$1:$J$1,0))-INDEX($A$32:$J$44,MATCH($M15,$A$32:$A$44,0)-1,MATCH(V$1,$A$1:$J$1,0)))/12+V14)</f>
        <v>14108.833333333332</v>
      </c>
      <c r="W15" s="46" cm="1">
        <f t="array" ref="W15">IF($N15=12,INDEX($A$32:$J$44,MATCH($M15,$A$32:$A$44,0),MATCH(W$1,$A$1:$J$1,0)),(INDEX($A$32:$J$44,MATCH($M15,$A$32:$A$44,0),MATCH(W$1,$A$1:$J$1,0))-INDEX($A$32:$J$44,MATCH($M15,$A$32:$A$44,0)-1,MATCH(W$1,$A$1:$J$1,0)))/12+W14)</f>
        <v>11419.5</v>
      </c>
      <c r="X15" s="46"/>
    </row>
    <row r="16" spans="1:27" x14ac:dyDescent="0.2">
      <c r="A16" s="13" t="s">
        <v>19</v>
      </c>
      <c r="B16" s="5"/>
      <c r="C16" s="5"/>
      <c r="D16" s="5"/>
      <c r="E16" s="43"/>
      <c r="F16" s="47"/>
      <c r="G16" s="48"/>
      <c r="H16" s="5"/>
      <c r="J16" s="213"/>
      <c r="L16" s="211">
        <f>'Purchased Power Model'!A17</f>
        <v>40969</v>
      </c>
      <c r="M16" s="212">
        <f>'Purchased Power Model'!B17</f>
        <v>2012</v>
      </c>
      <c r="N16" s="212">
        <f>'Purchased Power Model'!C17</f>
        <v>3</v>
      </c>
      <c r="O16" s="46" cm="1">
        <f t="array" ref="O16">IF($N16=12,INDEX($A$32:$J$44,MATCH($M16,$A$32:$A$44,0),MATCH(O$1,$A$1:$J$1,0)),(INDEX($A$32:$J$44,MATCH($M16,$A$32:$A$44,0),MATCH(O$1,$A$1:$J$1,0))-INDEX($A$32:$J$44,MATCH($M16,$A$32:$A$44,0)-1,MATCH(O$1,$A$1:$J$1,0)))/12+O15)</f>
        <v>9985.75</v>
      </c>
      <c r="P16" s="46" cm="1">
        <f t="array" ref="P16">IF($N16=12,INDEX($A$32:$J$44,MATCH($M16,$A$32:$A$44,0),MATCH(P$1,$A$1:$J$1,0)),(INDEX($A$32:$J$44,MATCH($M16,$A$32:$A$44,0),MATCH(P$1,$A$1:$J$1,0))-INDEX($A$32:$J$44,MATCH($M16,$A$32:$A$44,0)-1,MATCH(P$1,$A$1:$J$1,0)))/12+P15)</f>
        <v>1203.0000000000002</v>
      </c>
      <c r="Q16" s="46" cm="1">
        <f t="array" ref="Q16">IF($N16=12,INDEX($A$32:$J$44,MATCH($M16,$A$32:$A$44,0),MATCH(Q$1,$A$1:$J$1,0)),(INDEX($A$32:$J$44,MATCH($M16,$A$32:$A$44,0),MATCH(Q$1,$A$1:$J$1,0))-INDEX($A$32:$J$44,MATCH($M16,$A$32:$A$44,0)-1,MATCH(Q$1,$A$1:$J$1,0)))/12+Q15)</f>
        <v>89.499999999999986</v>
      </c>
      <c r="R16" s="46" cm="1">
        <f t="array" ref="R16">IF($N16=12,INDEX($A$32:$J$44,MATCH($M16,$A$32:$A$44,0),MATCH(R$1,$A$1:$J$1,0)),(INDEX($A$32:$J$44,MATCH($M16,$A$32:$A$44,0),MATCH(R$1,$A$1:$J$1,0))-INDEX($A$32:$J$44,MATCH($M16,$A$32:$A$44,0)-1,MATCH(R$1,$A$1:$J$1,0)))/12+R15)</f>
        <v>2796.25</v>
      </c>
      <c r="S16" s="46" cm="1">
        <f t="array" ref="S16">IF($N16=12,INDEX($A$32:$J$44,MATCH($M16,$A$32:$A$44,0),MATCH(S$1,$A$1:$J$1,0)),(INDEX($A$32:$J$44,MATCH($M16,$A$32:$A$44,0),MATCH(S$1,$A$1:$J$1,0))-INDEX($A$32:$J$44,MATCH($M16,$A$32:$A$44,0)-1,MATCH(S$1,$A$1:$J$1,0)))/12+S15)</f>
        <v>31.750000000000004</v>
      </c>
      <c r="T16" s="46" cm="1">
        <f t="array" ref="T16">IF($N16=12,INDEX($A$32:$J$44,MATCH($M16,$A$32:$A$44,0),MATCH(T$1,$A$1:$J$1,0)),(INDEX($A$32:$J$44,MATCH($M16,$A$32:$A$44,0),MATCH(T$1,$A$1:$J$1,0))-INDEX($A$32:$J$44,MATCH($M16,$A$32:$A$44,0)-1,MATCH(T$1,$A$1:$J$1,0)))/12+T15)</f>
        <v>7</v>
      </c>
      <c r="U16" s="46" cm="1">
        <f t="array" ref="U16">IF($N16=12,INDEX($A$32:$J$44,MATCH($M16,$A$32:$A$44,0),MATCH(U$1,$A$1:$J$1,0)),(INDEX($A$32:$J$44,MATCH($M16,$A$32:$A$44,0),MATCH(U$1,$A$1:$J$1,0))-INDEX($A$32:$J$44,MATCH($M16,$A$32:$A$44,0)-1,MATCH(U$1,$A$1:$J$1,0)))/12+U15)</f>
        <v>4</v>
      </c>
      <c r="V16" s="46" cm="1">
        <f t="array" ref="V16">IF($N16=12,INDEX($A$32:$J$44,MATCH($M16,$A$32:$A$44,0),MATCH(V$1,$A$1:$J$1,0)),(INDEX($A$32:$J$44,MATCH($M16,$A$32:$A$44,0),MATCH(V$1,$A$1:$J$1,0))-INDEX($A$32:$J$44,MATCH($M16,$A$32:$A$44,0)-1,MATCH(V$1,$A$1:$J$1,0)))/12+V15)</f>
        <v>14117.249999999998</v>
      </c>
      <c r="W16" s="46" cm="1">
        <f t="array" ref="W16">IF($N16=12,INDEX($A$32:$J$44,MATCH($M16,$A$32:$A$44,0),MATCH(W$1,$A$1:$J$1,0)),(INDEX($A$32:$J$44,MATCH($M16,$A$32:$A$44,0),MATCH(W$1,$A$1:$J$1,0))-INDEX($A$32:$J$44,MATCH($M16,$A$32:$A$44,0)-1,MATCH(W$1,$A$1:$J$1,0)))/12+W15)</f>
        <v>11427.25</v>
      </c>
      <c r="X16" s="46"/>
    </row>
    <row r="17" spans="1:24" x14ac:dyDescent="0.2">
      <c r="A17" s="4">
        <v>2011</v>
      </c>
      <c r="B17" s="17"/>
      <c r="C17" s="17"/>
      <c r="D17" s="17"/>
      <c r="E17" s="17"/>
      <c r="F17" s="17"/>
      <c r="G17" s="17"/>
      <c r="H17" s="17"/>
      <c r="L17" s="211">
        <f>'Purchased Power Model'!A18</f>
        <v>41000</v>
      </c>
      <c r="M17" s="212">
        <f>'Purchased Power Model'!B18</f>
        <v>2012</v>
      </c>
      <c r="N17" s="212">
        <f>'Purchased Power Model'!C18</f>
        <v>4</v>
      </c>
      <c r="O17" s="46" cm="1">
        <f t="array" ref="O17">IF($N17=12,INDEX($A$32:$J$44,MATCH($M17,$A$32:$A$44,0),MATCH(O$1,$A$1:$J$1,0)),(INDEX($A$32:$J$44,MATCH($M17,$A$32:$A$44,0),MATCH(O$1,$A$1:$J$1,0))-INDEX($A$32:$J$44,MATCH($M17,$A$32:$A$44,0)-1,MATCH(O$1,$A$1:$J$1,0)))/12+O16)</f>
        <v>9993</v>
      </c>
      <c r="P17" s="46" cm="1">
        <f t="array" ref="P17">IF($N17=12,INDEX($A$32:$J$44,MATCH($M17,$A$32:$A$44,0),MATCH(P$1,$A$1:$J$1,0)),(INDEX($A$32:$J$44,MATCH($M17,$A$32:$A$44,0),MATCH(P$1,$A$1:$J$1,0))-INDEX($A$32:$J$44,MATCH($M17,$A$32:$A$44,0)-1,MATCH(P$1,$A$1:$J$1,0)))/12+P16)</f>
        <v>1203.666666666667</v>
      </c>
      <c r="Q17" s="46" cm="1">
        <f t="array" ref="Q17">IF($N17=12,INDEX($A$32:$J$44,MATCH($M17,$A$32:$A$44,0),MATCH(Q$1,$A$1:$J$1,0)),(INDEX($A$32:$J$44,MATCH($M17,$A$32:$A$44,0),MATCH(Q$1,$A$1:$J$1,0))-INDEX($A$32:$J$44,MATCH($M17,$A$32:$A$44,0)-1,MATCH(Q$1,$A$1:$J$1,0)))/12+Q16)</f>
        <v>89.333333333333314</v>
      </c>
      <c r="R17" s="46" cm="1">
        <f t="array" ref="R17">IF($N17=12,INDEX($A$32:$J$44,MATCH($M17,$A$32:$A$44,0),MATCH(R$1,$A$1:$J$1,0)),(INDEX($A$32:$J$44,MATCH($M17,$A$32:$A$44,0),MATCH(R$1,$A$1:$J$1,0))-INDEX($A$32:$J$44,MATCH($M17,$A$32:$A$44,0)-1,MATCH(R$1,$A$1:$J$1,0)))/12+R16)</f>
        <v>2797</v>
      </c>
      <c r="S17" s="46" cm="1">
        <f t="array" ref="S17">IF($N17=12,INDEX($A$32:$J$44,MATCH($M17,$A$32:$A$44,0),MATCH(S$1,$A$1:$J$1,0)),(INDEX($A$32:$J$44,MATCH($M17,$A$32:$A$44,0),MATCH(S$1,$A$1:$J$1,0))-INDEX($A$32:$J$44,MATCH($M17,$A$32:$A$44,0)-1,MATCH(S$1,$A$1:$J$1,0)))/12+S16)</f>
        <v>31.666666666666671</v>
      </c>
      <c r="T17" s="46" cm="1">
        <f t="array" ref="T17">IF($N17=12,INDEX($A$32:$J$44,MATCH($M17,$A$32:$A$44,0),MATCH(T$1,$A$1:$J$1,0)),(INDEX($A$32:$J$44,MATCH($M17,$A$32:$A$44,0),MATCH(T$1,$A$1:$J$1,0))-INDEX($A$32:$J$44,MATCH($M17,$A$32:$A$44,0)-1,MATCH(T$1,$A$1:$J$1,0)))/12+T16)</f>
        <v>7</v>
      </c>
      <c r="U17" s="46" cm="1">
        <f t="array" ref="U17">IF($N17=12,INDEX($A$32:$J$44,MATCH($M17,$A$32:$A$44,0),MATCH(U$1,$A$1:$J$1,0)),(INDEX($A$32:$J$44,MATCH($M17,$A$32:$A$44,0),MATCH(U$1,$A$1:$J$1,0))-INDEX($A$32:$J$44,MATCH($M17,$A$32:$A$44,0)-1,MATCH(U$1,$A$1:$J$1,0)))/12+U16)</f>
        <v>4</v>
      </c>
      <c r="V17" s="46" cm="1">
        <f t="array" ref="V17">IF($N17=12,INDEX($A$32:$J$44,MATCH($M17,$A$32:$A$44,0),MATCH(V$1,$A$1:$J$1,0)),(INDEX($A$32:$J$44,MATCH($M17,$A$32:$A$44,0),MATCH(V$1,$A$1:$J$1,0))-INDEX($A$32:$J$44,MATCH($M17,$A$32:$A$44,0)-1,MATCH(V$1,$A$1:$J$1,0)))/12+V16)</f>
        <v>14125.666666666664</v>
      </c>
      <c r="W17" s="46" cm="1">
        <f t="array" ref="W17">IF($N17=12,INDEX($A$32:$J$44,MATCH($M17,$A$32:$A$44,0),MATCH(W$1,$A$1:$J$1,0)),(INDEX($A$32:$J$44,MATCH($M17,$A$32:$A$44,0),MATCH(W$1,$A$1:$J$1,0))-INDEX($A$32:$J$44,MATCH($M17,$A$32:$A$44,0)-1,MATCH(W$1,$A$1:$J$1,0)))/12+W16)</f>
        <v>11435</v>
      </c>
      <c r="X17" s="46"/>
    </row>
    <row r="18" spans="1:24" x14ac:dyDescent="0.2">
      <c r="A18" s="4">
        <v>2012</v>
      </c>
      <c r="B18" s="17">
        <f t="shared" ref="B18:H19" si="13">B3/B2</f>
        <v>1.0077426065656971</v>
      </c>
      <c r="C18" s="17">
        <f t="shared" si="13"/>
        <v>1.0089989536100454</v>
      </c>
      <c r="D18" s="17">
        <f t="shared" si="13"/>
        <v>0.94008810572687151</v>
      </c>
      <c r="E18" s="17">
        <f t="shared" si="13"/>
        <v>1.0032259509834669</v>
      </c>
      <c r="F18" s="17">
        <f t="shared" si="13"/>
        <v>0.96919127086007761</v>
      </c>
      <c r="G18" s="17">
        <f t="shared" si="13"/>
        <v>1</v>
      </c>
      <c r="H18" s="17">
        <f t="shared" si="13"/>
        <v>1</v>
      </c>
      <c r="I18" s="43"/>
      <c r="J18" s="246"/>
      <c r="L18" s="211">
        <f>'Purchased Power Model'!A19</f>
        <v>41030</v>
      </c>
      <c r="M18" s="212">
        <f>'Purchased Power Model'!B19</f>
        <v>2012</v>
      </c>
      <c r="N18" s="212">
        <f>'Purchased Power Model'!C19</f>
        <v>5</v>
      </c>
      <c r="O18" s="46" cm="1">
        <f t="array" ref="O18">IF($N18=12,INDEX($A$32:$J$44,MATCH($M18,$A$32:$A$44,0),MATCH(O$1,$A$1:$J$1,0)),(INDEX($A$32:$J$44,MATCH($M18,$A$32:$A$44,0),MATCH(O$1,$A$1:$J$1,0))-INDEX($A$32:$J$44,MATCH($M18,$A$32:$A$44,0)-1,MATCH(O$1,$A$1:$J$1,0)))/12+O17)</f>
        <v>10000.25</v>
      </c>
      <c r="P18" s="46" cm="1">
        <f t="array" ref="P18">IF($N18=12,INDEX($A$32:$J$44,MATCH($M18,$A$32:$A$44,0),MATCH(P$1,$A$1:$J$1,0)),(INDEX($A$32:$J$44,MATCH($M18,$A$32:$A$44,0),MATCH(P$1,$A$1:$J$1,0))-INDEX($A$32:$J$44,MATCH($M18,$A$32:$A$44,0)-1,MATCH(P$1,$A$1:$J$1,0)))/12+P17)</f>
        <v>1204.3333333333337</v>
      </c>
      <c r="Q18" s="46" cm="1">
        <f t="array" ref="Q18">IF($N18=12,INDEX($A$32:$J$44,MATCH($M18,$A$32:$A$44,0),MATCH(Q$1,$A$1:$J$1,0)),(INDEX($A$32:$J$44,MATCH($M18,$A$32:$A$44,0),MATCH(Q$1,$A$1:$J$1,0))-INDEX($A$32:$J$44,MATCH($M18,$A$32:$A$44,0)-1,MATCH(Q$1,$A$1:$J$1,0)))/12+Q17)</f>
        <v>89.166666666666643</v>
      </c>
      <c r="R18" s="46" cm="1">
        <f t="array" ref="R18">IF($N18=12,INDEX($A$32:$J$44,MATCH($M18,$A$32:$A$44,0),MATCH(R$1,$A$1:$J$1,0)),(INDEX($A$32:$J$44,MATCH($M18,$A$32:$A$44,0),MATCH(R$1,$A$1:$J$1,0))-INDEX($A$32:$J$44,MATCH($M18,$A$32:$A$44,0)-1,MATCH(R$1,$A$1:$J$1,0)))/12+R17)</f>
        <v>2797.75</v>
      </c>
      <c r="S18" s="46" cm="1">
        <f t="array" ref="S18">IF($N18=12,INDEX($A$32:$J$44,MATCH($M18,$A$32:$A$44,0),MATCH(S$1,$A$1:$J$1,0)),(INDEX($A$32:$J$44,MATCH($M18,$A$32:$A$44,0),MATCH(S$1,$A$1:$J$1,0))-INDEX($A$32:$J$44,MATCH($M18,$A$32:$A$44,0)-1,MATCH(S$1,$A$1:$J$1,0)))/12+S17)</f>
        <v>31.583333333333339</v>
      </c>
      <c r="T18" s="46" cm="1">
        <f t="array" ref="T18">IF($N18=12,INDEX($A$32:$J$44,MATCH($M18,$A$32:$A$44,0),MATCH(T$1,$A$1:$J$1,0)),(INDEX($A$32:$J$44,MATCH($M18,$A$32:$A$44,0),MATCH(T$1,$A$1:$J$1,0))-INDEX($A$32:$J$44,MATCH($M18,$A$32:$A$44,0)-1,MATCH(T$1,$A$1:$J$1,0)))/12+T17)</f>
        <v>7</v>
      </c>
      <c r="U18" s="46" cm="1">
        <f t="array" ref="U18">IF($N18=12,INDEX($A$32:$J$44,MATCH($M18,$A$32:$A$44,0),MATCH(U$1,$A$1:$J$1,0)),(INDEX($A$32:$J$44,MATCH($M18,$A$32:$A$44,0),MATCH(U$1,$A$1:$J$1,0))-INDEX($A$32:$J$44,MATCH($M18,$A$32:$A$44,0)-1,MATCH(U$1,$A$1:$J$1,0)))/12+U17)</f>
        <v>4</v>
      </c>
      <c r="V18" s="46" cm="1">
        <f t="array" ref="V18">IF($N18=12,INDEX($A$32:$J$44,MATCH($M18,$A$32:$A$44,0),MATCH(V$1,$A$1:$J$1,0)),(INDEX($A$32:$J$44,MATCH($M18,$A$32:$A$44,0),MATCH(V$1,$A$1:$J$1,0))-INDEX($A$32:$J$44,MATCH($M18,$A$32:$A$44,0)-1,MATCH(V$1,$A$1:$J$1,0)))/12+V17)</f>
        <v>14134.08333333333</v>
      </c>
      <c r="W18" s="46" cm="1">
        <f t="array" ref="W18">IF($N18=12,INDEX($A$32:$J$44,MATCH($M18,$A$32:$A$44,0),MATCH(W$1,$A$1:$J$1,0)),(INDEX($A$32:$J$44,MATCH($M18,$A$32:$A$44,0),MATCH(W$1,$A$1:$J$1,0))-INDEX($A$32:$J$44,MATCH($M18,$A$32:$A$44,0)-1,MATCH(W$1,$A$1:$J$1,0)))/12+W17)</f>
        <v>11442.75</v>
      </c>
      <c r="X18" s="46"/>
    </row>
    <row r="19" spans="1:24" x14ac:dyDescent="0.2">
      <c r="A19" s="4">
        <v>2013</v>
      </c>
      <c r="B19" s="17">
        <f t="shared" si="13"/>
        <v>1.0073917766484786</v>
      </c>
      <c r="C19" s="17">
        <f t="shared" si="13"/>
        <v>1.0016938606194687</v>
      </c>
      <c r="D19" s="17">
        <f t="shared" si="13"/>
        <v>1.0018744142455491</v>
      </c>
      <c r="E19" s="17">
        <f t="shared" si="13"/>
        <v>1.0032155776874636</v>
      </c>
      <c r="F19" s="17">
        <f t="shared" si="13"/>
        <v>0.9854304635761586</v>
      </c>
      <c r="G19" s="17">
        <f t="shared" si="13"/>
        <v>1</v>
      </c>
      <c r="H19" s="17">
        <f t="shared" si="13"/>
        <v>1</v>
      </c>
      <c r="L19" s="211">
        <f>'Purchased Power Model'!A20</f>
        <v>41061</v>
      </c>
      <c r="M19" s="212">
        <f>'Purchased Power Model'!B20</f>
        <v>2012</v>
      </c>
      <c r="N19" s="212">
        <f>'Purchased Power Model'!C20</f>
        <v>6</v>
      </c>
      <c r="O19" s="46" cm="1">
        <f t="array" ref="O19">IF($N19=12,INDEX($A$32:$J$44,MATCH($M19,$A$32:$A$44,0),MATCH(O$1,$A$1:$J$1,0)),(INDEX($A$32:$J$44,MATCH($M19,$A$32:$A$44,0),MATCH(O$1,$A$1:$J$1,0))-INDEX($A$32:$J$44,MATCH($M19,$A$32:$A$44,0)-1,MATCH(O$1,$A$1:$J$1,0)))/12+O18)</f>
        <v>10007.5</v>
      </c>
      <c r="P19" s="46" cm="1">
        <f t="array" ref="P19">IF($N19=12,INDEX($A$32:$J$44,MATCH($M19,$A$32:$A$44,0),MATCH(P$1,$A$1:$J$1,0)),(INDEX($A$32:$J$44,MATCH($M19,$A$32:$A$44,0),MATCH(P$1,$A$1:$J$1,0))-INDEX($A$32:$J$44,MATCH($M19,$A$32:$A$44,0)-1,MATCH(P$1,$A$1:$J$1,0)))/12+P18)</f>
        <v>1205.0000000000005</v>
      </c>
      <c r="Q19" s="46" cm="1">
        <f t="array" ref="Q19">IF($N19=12,INDEX($A$32:$J$44,MATCH($M19,$A$32:$A$44,0),MATCH(Q$1,$A$1:$J$1,0)),(INDEX($A$32:$J$44,MATCH($M19,$A$32:$A$44,0),MATCH(Q$1,$A$1:$J$1,0))-INDEX($A$32:$J$44,MATCH($M19,$A$32:$A$44,0)-1,MATCH(Q$1,$A$1:$J$1,0)))/12+Q18)</f>
        <v>88.999999999999972</v>
      </c>
      <c r="R19" s="46" cm="1">
        <f t="array" ref="R19">IF($N19=12,INDEX($A$32:$J$44,MATCH($M19,$A$32:$A$44,0),MATCH(R$1,$A$1:$J$1,0)),(INDEX($A$32:$J$44,MATCH($M19,$A$32:$A$44,0),MATCH(R$1,$A$1:$J$1,0))-INDEX($A$32:$J$44,MATCH($M19,$A$32:$A$44,0)-1,MATCH(R$1,$A$1:$J$1,0)))/12+R18)</f>
        <v>2798.5</v>
      </c>
      <c r="S19" s="46" cm="1">
        <f t="array" ref="S19">IF($N19=12,INDEX($A$32:$J$44,MATCH($M19,$A$32:$A$44,0),MATCH(S$1,$A$1:$J$1,0)),(INDEX($A$32:$J$44,MATCH($M19,$A$32:$A$44,0),MATCH(S$1,$A$1:$J$1,0))-INDEX($A$32:$J$44,MATCH($M19,$A$32:$A$44,0)-1,MATCH(S$1,$A$1:$J$1,0)))/12+S18)</f>
        <v>31.500000000000007</v>
      </c>
      <c r="T19" s="46" cm="1">
        <f t="array" ref="T19">IF($N19=12,INDEX($A$32:$J$44,MATCH($M19,$A$32:$A$44,0),MATCH(T$1,$A$1:$J$1,0)),(INDEX($A$32:$J$44,MATCH($M19,$A$32:$A$44,0),MATCH(T$1,$A$1:$J$1,0))-INDEX($A$32:$J$44,MATCH($M19,$A$32:$A$44,0)-1,MATCH(T$1,$A$1:$J$1,0)))/12+T18)</f>
        <v>7</v>
      </c>
      <c r="U19" s="46" cm="1">
        <f t="array" ref="U19">IF($N19=12,INDEX($A$32:$J$44,MATCH($M19,$A$32:$A$44,0),MATCH(U$1,$A$1:$J$1,0)),(INDEX($A$32:$J$44,MATCH($M19,$A$32:$A$44,0),MATCH(U$1,$A$1:$J$1,0))-INDEX($A$32:$J$44,MATCH($M19,$A$32:$A$44,0)-1,MATCH(U$1,$A$1:$J$1,0)))/12+U18)</f>
        <v>4</v>
      </c>
      <c r="V19" s="46" cm="1">
        <f t="array" ref="V19">IF($N19=12,INDEX($A$32:$J$44,MATCH($M19,$A$32:$A$44,0),MATCH(V$1,$A$1:$J$1,0)),(INDEX($A$32:$J$44,MATCH($M19,$A$32:$A$44,0),MATCH(V$1,$A$1:$J$1,0))-INDEX($A$32:$J$44,MATCH($M19,$A$32:$A$44,0)-1,MATCH(V$1,$A$1:$J$1,0)))/12+V18)</f>
        <v>14142.499999999996</v>
      </c>
      <c r="W19" s="46" cm="1">
        <f t="array" ref="W19">IF($N19=12,INDEX($A$32:$J$44,MATCH($M19,$A$32:$A$44,0),MATCH(W$1,$A$1:$J$1,0)),(INDEX($A$32:$J$44,MATCH($M19,$A$32:$A$44,0),MATCH(W$1,$A$1:$J$1,0))-INDEX($A$32:$J$44,MATCH($M19,$A$32:$A$44,0)-1,MATCH(W$1,$A$1:$J$1,0)))/12+W18)</f>
        <v>11450.5</v>
      </c>
      <c r="X19" s="46"/>
    </row>
    <row r="20" spans="1:24" x14ac:dyDescent="0.2">
      <c r="A20" s="4">
        <v>2014</v>
      </c>
      <c r="B20" s="17">
        <f t="shared" ref="B20:H20" si="14">B5/B4</f>
        <v>1.0071061753490085</v>
      </c>
      <c r="C20" s="17">
        <f t="shared" si="14"/>
        <v>1.0064879041998829</v>
      </c>
      <c r="D20" s="17">
        <f t="shared" si="14"/>
        <v>1.0102899906454625</v>
      </c>
      <c r="E20" s="17">
        <f t="shared" si="14"/>
        <v>1.0032052708899077</v>
      </c>
      <c r="F20" s="17">
        <f t="shared" si="14"/>
        <v>1</v>
      </c>
      <c r="G20" s="17">
        <f t="shared" si="14"/>
        <v>1</v>
      </c>
      <c r="H20" s="17">
        <f t="shared" si="14"/>
        <v>1.1354166666666663</v>
      </c>
      <c r="L20" s="211">
        <f>'Purchased Power Model'!A21</f>
        <v>41091</v>
      </c>
      <c r="M20" s="212">
        <f>'Purchased Power Model'!B21</f>
        <v>2012</v>
      </c>
      <c r="N20" s="212">
        <f>'Purchased Power Model'!C21</f>
        <v>7</v>
      </c>
      <c r="O20" s="46" cm="1">
        <f t="array" ref="O20">IF($N20=12,INDEX($A$32:$J$44,MATCH($M20,$A$32:$A$44,0),MATCH(O$1,$A$1:$J$1,0)),(INDEX($A$32:$J$44,MATCH($M20,$A$32:$A$44,0),MATCH(O$1,$A$1:$J$1,0))-INDEX($A$32:$J$44,MATCH($M20,$A$32:$A$44,0)-1,MATCH(O$1,$A$1:$J$1,0)))/12+O19)</f>
        <v>10014.75</v>
      </c>
      <c r="P20" s="46" cm="1">
        <f t="array" ref="P20">IF($N20=12,INDEX($A$32:$J$44,MATCH($M20,$A$32:$A$44,0),MATCH(P$1,$A$1:$J$1,0)),(INDEX($A$32:$J$44,MATCH($M20,$A$32:$A$44,0),MATCH(P$1,$A$1:$J$1,0))-INDEX($A$32:$J$44,MATCH($M20,$A$32:$A$44,0)-1,MATCH(P$1,$A$1:$J$1,0)))/12+P19)</f>
        <v>1205.6666666666672</v>
      </c>
      <c r="Q20" s="46" cm="1">
        <f t="array" ref="Q20">IF($N20=12,INDEX($A$32:$J$44,MATCH($M20,$A$32:$A$44,0),MATCH(Q$1,$A$1:$J$1,0)),(INDEX($A$32:$J$44,MATCH($M20,$A$32:$A$44,0),MATCH(Q$1,$A$1:$J$1,0))-INDEX($A$32:$J$44,MATCH($M20,$A$32:$A$44,0)-1,MATCH(Q$1,$A$1:$J$1,0)))/12+Q19)</f>
        <v>88.8333333333333</v>
      </c>
      <c r="R20" s="46" cm="1">
        <f t="array" ref="R20">IF($N20=12,INDEX($A$32:$J$44,MATCH($M20,$A$32:$A$44,0),MATCH(R$1,$A$1:$J$1,0)),(INDEX($A$32:$J$44,MATCH($M20,$A$32:$A$44,0),MATCH(R$1,$A$1:$J$1,0))-INDEX($A$32:$J$44,MATCH($M20,$A$32:$A$44,0)-1,MATCH(R$1,$A$1:$J$1,0)))/12+R19)</f>
        <v>2799.25</v>
      </c>
      <c r="S20" s="46" cm="1">
        <f t="array" ref="S20">IF($N20=12,INDEX($A$32:$J$44,MATCH($M20,$A$32:$A$44,0),MATCH(S$1,$A$1:$J$1,0)),(INDEX($A$32:$J$44,MATCH($M20,$A$32:$A$44,0),MATCH(S$1,$A$1:$J$1,0))-INDEX($A$32:$J$44,MATCH($M20,$A$32:$A$44,0)-1,MATCH(S$1,$A$1:$J$1,0)))/12+S19)</f>
        <v>31.416666666666675</v>
      </c>
      <c r="T20" s="46" cm="1">
        <f t="array" ref="T20">IF($N20=12,INDEX($A$32:$J$44,MATCH($M20,$A$32:$A$44,0),MATCH(T$1,$A$1:$J$1,0)),(INDEX($A$32:$J$44,MATCH($M20,$A$32:$A$44,0),MATCH(T$1,$A$1:$J$1,0))-INDEX($A$32:$J$44,MATCH($M20,$A$32:$A$44,0)-1,MATCH(T$1,$A$1:$J$1,0)))/12+T19)</f>
        <v>7</v>
      </c>
      <c r="U20" s="46" cm="1">
        <f t="array" ref="U20">IF($N20=12,INDEX($A$32:$J$44,MATCH($M20,$A$32:$A$44,0),MATCH(U$1,$A$1:$J$1,0)),(INDEX($A$32:$J$44,MATCH($M20,$A$32:$A$44,0),MATCH(U$1,$A$1:$J$1,0))-INDEX($A$32:$J$44,MATCH($M20,$A$32:$A$44,0)-1,MATCH(U$1,$A$1:$J$1,0)))/12+U19)</f>
        <v>4</v>
      </c>
      <c r="V20" s="46" cm="1">
        <f t="array" ref="V20">IF($N20=12,INDEX($A$32:$J$44,MATCH($M20,$A$32:$A$44,0),MATCH(V$1,$A$1:$J$1,0)),(INDEX($A$32:$J$44,MATCH($M20,$A$32:$A$44,0),MATCH(V$1,$A$1:$J$1,0))-INDEX($A$32:$J$44,MATCH($M20,$A$32:$A$44,0)-1,MATCH(V$1,$A$1:$J$1,0)))/12+V19)</f>
        <v>14150.916666666662</v>
      </c>
      <c r="W20" s="46" cm="1">
        <f t="array" ref="W20">IF($N20=12,INDEX($A$32:$J$44,MATCH($M20,$A$32:$A$44,0),MATCH(W$1,$A$1:$J$1,0)),(INDEX($A$32:$J$44,MATCH($M20,$A$32:$A$44,0),MATCH(W$1,$A$1:$J$1,0))-INDEX($A$32:$J$44,MATCH($M20,$A$32:$A$44,0)-1,MATCH(W$1,$A$1:$J$1,0)))/12+W19)</f>
        <v>11458.25</v>
      </c>
      <c r="X20" s="46"/>
    </row>
    <row r="21" spans="1:24" x14ac:dyDescent="0.2">
      <c r="A21" s="4">
        <v>2015</v>
      </c>
      <c r="B21" s="17">
        <f t="shared" ref="B21:H21" si="15">B6/B5</f>
        <v>1.0061781320380863</v>
      </c>
      <c r="C21" s="17">
        <f t="shared" si="15"/>
        <v>1.0046288359334818</v>
      </c>
      <c r="D21" s="17">
        <f t="shared" si="15"/>
        <v>1.030092592592593</v>
      </c>
      <c r="E21" s="17">
        <f t="shared" si="15"/>
        <v>1.0031950299534058</v>
      </c>
      <c r="F21" s="17">
        <f t="shared" si="15"/>
        <v>1</v>
      </c>
      <c r="G21" s="17">
        <f t="shared" si="15"/>
        <v>1</v>
      </c>
      <c r="H21" s="17">
        <f t="shared" si="15"/>
        <v>1.1009174311926608</v>
      </c>
      <c r="L21" s="211">
        <f>'Purchased Power Model'!A22</f>
        <v>41122</v>
      </c>
      <c r="M21" s="212">
        <f>'Purchased Power Model'!B22</f>
        <v>2012</v>
      </c>
      <c r="N21" s="212">
        <f>'Purchased Power Model'!C22</f>
        <v>8</v>
      </c>
      <c r="O21" s="46" cm="1">
        <f t="array" ref="O21">IF($N21=12,INDEX($A$32:$J$44,MATCH($M21,$A$32:$A$44,0),MATCH(O$1,$A$1:$J$1,0)),(INDEX($A$32:$J$44,MATCH($M21,$A$32:$A$44,0),MATCH(O$1,$A$1:$J$1,0))-INDEX($A$32:$J$44,MATCH($M21,$A$32:$A$44,0)-1,MATCH(O$1,$A$1:$J$1,0)))/12+O20)</f>
        <v>10022</v>
      </c>
      <c r="P21" s="46" cm="1">
        <f t="array" ref="P21">IF($N21=12,INDEX($A$32:$J$44,MATCH($M21,$A$32:$A$44,0),MATCH(P$1,$A$1:$J$1,0)),(INDEX($A$32:$J$44,MATCH($M21,$A$32:$A$44,0),MATCH(P$1,$A$1:$J$1,0))-INDEX($A$32:$J$44,MATCH($M21,$A$32:$A$44,0)-1,MATCH(P$1,$A$1:$J$1,0)))/12+P20)</f>
        <v>1206.3333333333339</v>
      </c>
      <c r="Q21" s="46" cm="1">
        <f t="array" ref="Q21">IF($N21=12,INDEX($A$32:$J$44,MATCH($M21,$A$32:$A$44,0),MATCH(Q$1,$A$1:$J$1,0)),(INDEX($A$32:$J$44,MATCH($M21,$A$32:$A$44,0),MATCH(Q$1,$A$1:$J$1,0))-INDEX($A$32:$J$44,MATCH($M21,$A$32:$A$44,0)-1,MATCH(Q$1,$A$1:$J$1,0)))/12+Q20)</f>
        <v>88.666666666666629</v>
      </c>
      <c r="R21" s="46" cm="1">
        <f t="array" ref="R21">IF($N21=12,INDEX($A$32:$J$44,MATCH($M21,$A$32:$A$44,0),MATCH(R$1,$A$1:$J$1,0)),(INDEX($A$32:$J$44,MATCH($M21,$A$32:$A$44,0),MATCH(R$1,$A$1:$J$1,0))-INDEX($A$32:$J$44,MATCH($M21,$A$32:$A$44,0)-1,MATCH(R$1,$A$1:$J$1,0)))/12+R20)</f>
        <v>2800</v>
      </c>
      <c r="S21" s="46" cm="1">
        <f t="array" ref="S21">IF($N21=12,INDEX($A$32:$J$44,MATCH($M21,$A$32:$A$44,0),MATCH(S$1,$A$1:$J$1,0)),(INDEX($A$32:$J$44,MATCH($M21,$A$32:$A$44,0),MATCH(S$1,$A$1:$J$1,0))-INDEX($A$32:$J$44,MATCH($M21,$A$32:$A$44,0)-1,MATCH(S$1,$A$1:$J$1,0)))/12+S20)</f>
        <v>31.333333333333343</v>
      </c>
      <c r="T21" s="46" cm="1">
        <f t="array" ref="T21">IF($N21=12,INDEX($A$32:$J$44,MATCH($M21,$A$32:$A$44,0),MATCH(T$1,$A$1:$J$1,0)),(INDEX($A$32:$J$44,MATCH($M21,$A$32:$A$44,0),MATCH(T$1,$A$1:$J$1,0))-INDEX($A$32:$J$44,MATCH($M21,$A$32:$A$44,0)-1,MATCH(T$1,$A$1:$J$1,0)))/12+T20)</f>
        <v>7</v>
      </c>
      <c r="U21" s="46" cm="1">
        <f t="array" ref="U21">IF($N21=12,INDEX($A$32:$J$44,MATCH($M21,$A$32:$A$44,0),MATCH(U$1,$A$1:$J$1,0)),(INDEX($A$32:$J$44,MATCH($M21,$A$32:$A$44,0),MATCH(U$1,$A$1:$J$1,0))-INDEX($A$32:$J$44,MATCH($M21,$A$32:$A$44,0)-1,MATCH(U$1,$A$1:$J$1,0)))/12+U20)</f>
        <v>4</v>
      </c>
      <c r="V21" s="46" cm="1">
        <f t="array" ref="V21">IF($N21=12,INDEX($A$32:$J$44,MATCH($M21,$A$32:$A$44,0),MATCH(V$1,$A$1:$J$1,0)),(INDEX($A$32:$J$44,MATCH($M21,$A$32:$A$44,0),MATCH(V$1,$A$1:$J$1,0))-INDEX($A$32:$J$44,MATCH($M21,$A$32:$A$44,0)-1,MATCH(V$1,$A$1:$J$1,0)))/12+V20)</f>
        <v>14159.333333333328</v>
      </c>
      <c r="W21" s="46" cm="1">
        <f t="array" ref="W21">IF($N21=12,INDEX($A$32:$J$44,MATCH($M21,$A$32:$A$44,0),MATCH(W$1,$A$1:$J$1,0)),(INDEX($A$32:$J$44,MATCH($M21,$A$32:$A$44,0),MATCH(W$1,$A$1:$J$1,0))-INDEX($A$32:$J$44,MATCH($M21,$A$32:$A$44,0)-1,MATCH(W$1,$A$1:$J$1,0)))/12+W20)</f>
        <v>11466</v>
      </c>
      <c r="X21" s="46"/>
    </row>
    <row r="22" spans="1:24" x14ac:dyDescent="0.2">
      <c r="A22" s="4">
        <v>2016</v>
      </c>
      <c r="B22" s="17">
        <f t="shared" ref="B22:H22" si="16">B7/B6</f>
        <v>1.0059077991919076</v>
      </c>
      <c r="C22" s="17">
        <f t="shared" si="16"/>
        <v>1.0060409556313994</v>
      </c>
      <c r="D22" s="17">
        <f t="shared" si="16"/>
        <v>1.0130337078651677</v>
      </c>
      <c r="E22" s="17">
        <f t="shared" si="16"/>
        <v>1.0210111912239572</v>
      </c>
      <c r="F22" s="17">
        <f t="shared" si="16"/>
        <v>0.98252688172043046</v>
      </c>
      <c r="G22" s="17">
        <f t="shared" si="16"/>
        <v>1.6190476190476186</v>
      </c>
      <c r="H22" s="17">
        <f t="shared" si="16"/>
        <v>1.1083333333333329</v>
      </c>
      <c r="L22" s="211">
        <f>'Purchased Power Model'!A23</f>
        <v>41153</v>
      </c>
      <c r="M22" s="212">
        <f>'Purchased Power Model'!B23</f>
        <v>2012</v>
      </c>
      <c r="N22" s="212">
        <f>'Purchased Power Model'!C23</f>
        <v>9</v>
      </c>
      <c r="O22" s="46" cm="1">
        <f t="array" ref="O22">IF($N22=12,INDEX($A$32:$J$44,MATCH($M22,$A$32:$A$44,0),MATCH(O$1,$A$1:$J$1,0)),(INDEX($A$32:$J$44,MATCH($M22,$A$32:$A$44,0),MATCH(O$1,$A$1:$J$1,0))-INDEX($A$32:$J$44,MATCH($M22,$A$32:$A$44,0)-1,MATCH(O$1,$A$1:$J$1,0)))/12+O21)</f>
        <v>10029.25</v>
      </c>
      <c r="P22" s="46" cm="1">
        <f t="array" ref="P22">IF($N22=12,INDEX($A$32:$J$44,MATCH($M22,$A$32:$A$44,0),MATCH(P$1,$A$1:$J$1,0)),(INDEX($A$32:$J$44,MATCH($M22,$A$32:$A$44,0),MATCH(P$1,$A$1:$J$1,0))-INDEX($A$32:$J$44,MATCH($M22,$A$32:$A$44,0)-1,MATCH(P$1,$A$1:$J$1,0)))/12+P21)</f>
        <v>1207.0000000000007</v>
      </c>
      <c r="Q22" s="46" cm="1">
        <f t="array" ref="Q22">IF($N22=12,INDEX($A$32:$J$44,MATCH($M22,$A$32:$A$44,0),MATCH(Q$1,$A$1:$J$1,0)),(INDEX($A$32:$J$44,MATCH($M22,$A$32:$A$44,0),MATCH(Q$1,$A$1:$J$1,0))-INDEX($A$32:$J$44,MATCH($M22,$A$32:$A$44,0)-1,MATCH(Q$1,$A$1:$J$1,0)))/12+Q21)</f>
        <v>88.499999999999957</v>
      </c>
      <c r="R22" s="46" cm="1">
        <f t="array" ref="R22">IF($N22=12,INDEX($A$32:$J$44,MATCH($M22,$A$32:$A$44,0),MATCH(R$1,$A$1:$J$1,0)),(INDEX($A$32:$J$44,MATCH($M22,$A$32:$A$44,0),MATCH(R$1,$A$1:$J$1,0))-INDEX($A$32:$J$44,MATCH($M22,$A$32:$A$44,0)-1,MATCH(R$1,$A$1:$J$1,0)))/12+R21)</f>
        <v>2800.75</v>
      </c>
      <c r="S22" s="46" cm="1">
        <f t="array" ref="S22">IF($N22=12,INDEX($A$32:$J$44,MATCH($M22,$A$32:$A$44,0),MATCH(S$1,$A$1:$J$1,0)),(INDEX($A$32:$J$44,MATCH($M22,$A$32:$A$44,0),MATCH(S$1,$A$1:$J$1,0))-INDEX($A$32:$J$44,MATCH($M22,$A$32:$A$44,0)-1,MATCH(S$1,$A$1:$J$1,0)))/12+S21)</f>
        <v>31.250000000000011</v>
      </c>
      <c r="T22" s="46" cm="1">
        <f t="array" ref="T22">IF($N22=12,INDEX($A$32:$J$44,MATCH($M22,$A$32:$A$44,0),MATCH(T$1,$A$1:$J$1,0)),(INDEX($A$32:$J$44,MATCH($M22,$A$32:$A$44,0),MATCH(T$1,$A$1:$J$1,0))-INDEX($A$32:$J$44,MATCH($M22,$A$32:$A$44,0)-1,MATCH(T$1,$A$1:$J$1,0)))/12+T21)</f>
        <v>7</v>
      </c>
      <c r="U22" s="46" cm="1">
        <f t="array" ref="U22">IF($N22=12,INDEX($A$32:$J$44,MATCH($M22,$A$32:$A$44,0),MATCH(U$1,$A$1:$J$1,0)),(INDEX($A$32:$J$44,MATCH($M22,$A$32:$A$44,0),MATCH(U$1,$A$1:$J$1,0))-INDEX($A$32:$J$44,MATCH($M22,$A$32:$A$44,0)-1,MATCH(U$1,$A$1:$J$1,0)))/12+U21)</f>
        <v>4</v>
      </c>
      <c r="V22" s="46" cm="1">
        <f t="array" ref="V22">IF($N22=12,INDEX($A$32:$J$44,MATCH($M22,$A$32:$A$44,0),MATCH(V$1,$A$1:$J$1,0)),(INDEX($A$32:$J$44,MATCH($M22,$A$32:$A$44,0),MATCH(V$1,$A$1:$J$1,0))-INDEX($A$32:$J$44,MATCH($M22,$A$32:$A$44,0)-1,MATCH(V$1,$A$1:$J$1,0)))/12+V21)</f>
        <v>14167.749999999995</v>
      </c>
      <c r="W22" s="46" cm="1">
        <f t="array" ref="W22">IF($N22=12,INDEX($A$32:$J$44,MATCH($M22,$A$32:$A$44,0),MATCH(W$1,$A$1:$J$1,0)),(INDEX($A$32:$J$44,MATCH($M22,$A$32:$A$44,0),MATCH(W$1,$A$1:$J$1,0))-INDEX($A$32:$J$44,MATCH($M22,$A$32:$A$44,0)-1,MATCH(W$1,$A$1:$J$1,0)))/12+W21)</f>
        <v>11473.75</v>
      </c>
      <c r="X22" s="46"/>
    </row>
    <row r="23" spans="1:24" x14ac:dyDescent="0.2">
      <c r="A23" s="4">
        <v>2017</v>
      </c>
      <c r="B23" s="17">
        <f t="shared" ref="B23:H23" si="17">B8/B7</f>
        <v>1.0097074392626393</v>
      </c>
      <c r="C23" s="17">
        <f t="shared" si="17"/>
        <v>1.0072259727923465</v>
      </c>
      <c r="D23" s="17">
        <f t="shared" si="17"/>
        <v>1.0133096716947649</v>
      </c>
      <c r="E23" s="17">
        <f t="shared" si="17"/>
        <v>1.0162031019842301</v>
      </c>
      <c r="F23" s="17">
        <f t="shared" si="17"/>
        <v>1.0027359781121745</v>
      </c>
      <c r="G23" s="17">
        <f t="shared" si="17"/>
        <v>1.4191176470588238</v>
      </c>
      <c r="H23" s="17">
        <f t="shared" si="17"/>
        <v>1.0827067669172936</v>
      </c>
      <c r="L23" s="211">
        <f>'Purchased Power Model'!A24</f>
        <v>41183</v>
      </c>
      <c r="M23" s="212">
        <f>'Purchased Power Model'!B24</f>
        <v>2012</v>
      </c>
      <c r="N23" s="212">
        <f>'Purchased Power Model'!C24</f>
        <v>10</v>
      </c>
      <c r="O23" s="46" cm="1">
        <f t="array" ref="O23">IF($N23=12,INDEX($A$32:$J$44,MATCH($M23,$A$32:$A$44,0),MATCH(O$1,$A$1:$J$1,0)),(INDEX($A$32:$J$44,MATCH($M23,$A$32:$A$44,0),MATCH(O$1,$A$1:$J$1,0))-INDEX($A$32:$J$44,MATCH($M23,$A$32:$A$44,0)-1,MATCH(O$1,$A$1:$J$1,0)))/12+O22)</f>
        <v>10036.5</v>
      </c>
      <c r="P23" s="46" cm="1">
        <f t="array" ref="P23">IF($N23=12,INDEX($A$32:$J$44,MATCH($M23,$A$32:$A$44,0),MATCH(P$1,$A$1:$J$1,0)),(INDEX($A$32:$J$44,MATCH($M23,$A$32:$A$44,0),MATCH(P$1,$A$1:$J$1,0))-INDEX($A$32:$J$44,MATCH($M23,$A$32:$A$44,0)-1,MATCH(P$1,$A$1:$J$1,0)))/12+P22)</f>
        <v>1207.6666666666674</v>
      </c>
      <c r="Q23" s="46" cm="1">
        <f t="array" ref="Q23">IF($N23=12,INDEX($A$32:$J$44,MATCH($M23,$A$32:$A$44,0),MATCH(Q$1,$A$1:$J$1,0)),(INDEX($A$32:$J$44,MATCH($M23,$A$32:$A$44,0),MATCH(Q$1,$A$1:$J$1,0))-INDEX($A$32:$J$44,MATCH($M23,$A$32:$A$44,0)-1,MATCH(Q$1,$A$1:$J$1,0)))/12+Q22)</f>
        <v>88.333333333333286</v>
      </c>
      <c r="R23" s="46" cm="1">
        <f t="array" ref="R23">IF($N23=12,INDEX($A$32:$J$44,MATCH($M23,$A$32:$A$44,0),MATCH(R$1,$A$1:$J$1,0)),(INDEX($A$32:$J$44,MATCH($M23,$A$32:$A$44,0),MATCH(R$1,$A$1:$J$1,0))-INDEX($A$32:$J$44,MATCH($M23,$A$32:$A$44,0)-1,MATCH(R$1,$A$1:$J$1,0)))/12+R22)</f>
        <v>2801.5</v>
      </c>
      <c r="S23" s="46" cm="1">
        <f t="array" ref="S23">IF($N23=12,INDEX($A$32:$J$44,MATCH($M23,$A$32:$A$44,0),MATCH(S$1,$A$1:$J$1,0)),(INDEX($A$32:$J$44,MATCH($M23,$A$32:$A$44,0),MATCH(S$1,$A$1:$J$1,0))-INDEX($A$32:$J$44,MATCH($M23,$A$32:$A$44,0)-1,MATCH(S$1,$A$1:$J$1,0)))/12+S22)</f>
        <v>31.166666666666679</v>
      </c>
      <c r="T23" s="46" cm="1">
        <f t="array" ref="T23">IF($N23=12,INDEX($A$32:$J$44,MATCH($M23,$A$32:$A$44,0),MATCH(T$1,$A$1:$J$1,0)),(INDEX($A$32:$J$44,MATCH($M23,$A$32:$A$44,0),MATCH(T$1,$A$1:$J$1,0))-INDEX($A$32:$J$44,MATCH($M23,$A$32:$A$44,0)-1,MATCH(T$1,$A$1:$J$1,0)))/12+T22)</f>
        <v>7</v>
      </c>
      <c r="U23" s="46" cm="1">
        <f t="array" ref="U23">IF($N23=12,INDEX($A$32:$J$44,MATCH($M23,$A$32:$A$44,0),MATCH(U$1,$A$1:$J$1,0)),(INDEX($A$32:$J$44,MATCH($M23,$A$32:$A$44,0),MATCH(U$1,$A$1:$J$1,0))-INDEX($A$32:$J$44,MATCH($M23,$A$32:$A$44,0)-1,MATCH(U$1,$A$1:$J$1,0)))/12+U22)</f>
        <v>4</v>
      </c>
      <c r="V23" s="46" cm="1">
        <f t="array" ref="V23">IF($N23=12,INDEX($A$32:$J$44,MATCH($M23,$A$32:$A$44,0),MATCH(V$1,$A$1:$J$1,0)),(INDEX($A$32:$J$44,MATCH($M23,$A$32:$A$44,0),MATCH(V$1,$A$1:$J$1,0))-INDEX($A$32:$J$44,MATCH($M23,$A$32:$A$44,0)-1,MATCH(V$1,$A$1:$J$1,0)))/12+V22)</f>
        <v>14176.166666666661</v>
      </c>
      <c r="W23" s="46" cm="1">
        <f t="array" ref="W23">IF($N23=12,INDEX($A$32:$J$44,MATCH($M23,$A$32:$A$44,0),MATCH(W$1,$A$1:$J$1,0)),(INDEX($A$32:$J$44,MATCH($M23,$A$32:$A$44,0),MATCH(W$1,$A$1:$J$1,0))-INDEX($A$32:$J$44,MATCH($M23,$A$32:$A$44,0)-1,MATCH(W$1,$A$1:$J$1,0)))/12+W22)</f>
        <v>11481.5</v>
      </c>
      <c r="X23" s="46"/>
    </row>
    <row r="24" spans="1:24" x14ac:dyDescent="0.2">
      <c r="A24" s="4">
        <v>2018</v>
      </c>
      <c r="B24" s="17">
        <f t="shared" ref="B24:H24" si="18">B9/B8</f>
        <v>1.0125645791267419</v>
      </c>
      <c r="C24" s="17">
        <f t="shared" si="18"/>
        <v>1.0007409902324012</v>
      </c>
      <c r="D24" s="17">
        <f t="shared" si="18"/>
        <v>1.0021891418563926</v>
      </c>
      <c r="E24" s="17">
        <f t="shared" si="18"/>
        <v>1.00849818099136</v>
      </c>
      <c r="F24" s="17">
        <f t="shared" si="18"/>
        <v>1.0327421555252387</v>
      </c>
      <c r="G24" s="17">
        <f t="shared" si="18"/>
        <v>1.0569948186528497</v>
      </c>
      <c r="H24" s="17">
        <f t="shared" si="18"/>
        <v>1</v>
      </c>
      <c r="L24" s="211">
        <f>'Purchased Power Model'!A25</f>
        <v>41214</v>
      </c>
      <c r="M24" s="212">
        <f>'Purchased Power Model'!B25</f>
        <v>2012</v>
      </c>
      <c r="N24" s="212">
        <f>'Purchased Power Model'!C25</f>
        <v>11</v>
      </c>
      <c r="O24" s="46" cm="1">
        <f t="array" ref="O24">IF($N24=12,INDEX($A$32:$J$44,MATCH($M24,$A$32:$A$44,0),MATCH(O$1,$A$1:$J$1,0)),(INDEX($A$32:$J$44,MATCH($M24,$A$32:$A$44,0),MATCH(O$1,$A$1:$J$1,0))-INDEX($A$32:$J$44,MATCH($M24,$A$32:$A$44,0)-1,MATCH(O$1,$A$1:$J$1,0)))/12+O23)</f>
        <v>10043.75</v>
      </c>
      <c r="P24" s="46" cm="1">
        <f t="array" ref="P24">IF($N24=12,INDEX($A$32:$J$44,MATCH($M24,$A$32:$A$44,0),MATCH(P$1,$A$1:$J$1,0)),(INDEX($A$32:$J$44,MATCH($M24,$A$32:$A$44,0),MATCH(P$1,$A$1:$J$1,0))-INDEX($A$32:$J$44,MATCH($M24,$A$32:$A$44,0)-1,MATCH(P$1,$A$1:$J$1,0)))/12+P23)</f>
        <v>1208.3333333333342</v>
      </c>
      <c r="Q24" s="46" cm="1">
        <f t="array" ref="Q24">IF($N24=12,INDEX($A$32:$J$44,MATCH($M24,$A$32:$A$44,0),MATCH(Q$1,$A$1:$J$1,0)),(INDEX($A$32:$J$44,MATCH($M24,$A$32:$A$44,0),MATCH(Q$1,$A$1:$J$1,0))-INDEX($A$32:$J$44,MATCH($M24,$A$32:$A$44,0)-1,MATCH(Q$1,$A$1:$J$1,0)))/12+Q23)</f>
        <v>88.166666666666615</v>
      </c>
      <c r="R24" s="46" cm="1">
        <f t="array" ref="R24">IF($N24=12,INDEX($A$32:$J$44,MATCH($M24,$A$32:$A$44,0),MATCH(R$1,$A$1:$J$1,0)),(INDEX($A$32:$J$44,MATCH($M24,$A$32:$A$44,0),MATCH(R$1,$A$1:$J$1,0))-INDEX($A$32:$J$44,MATCH($M24,$A$32:$A$44,0)-1,MATCH(R$1,$A$1:$J$1,0)))/12+R23)</f>
        <v>2802.25</v>
      </c>
      <c r="S24" s="46" cm="1">
        <f t="array" ref="S24">IF($N24=12,INDEX($A$32:$J$44,MATCH($M24,$A$32:$A$44,0),MATCH(S$1,$A$1:$J$1,0)),(INDEX($A$32:$J$44,MATCH($M24,$A$32:$A$44,0),MATCH(S$1,$A$1:$J$1,0))-INDEX($A$32:$J$44,MATCH($M24,$A$32:$A$44,0)-1,MATCH(S$1,$A$1:$J$1,0)))/12+S23)</f>
        <v>31.083333333333346</v>
      </c>
      <c r="T24" s="46" cm="1">
        <f t="array" ref="T24">IF($N24=12,INDEX($A$32:$J$44,MATCH($M24,$A$32:$A$44,0),MATCH(T$1,$A$1:$J$1,0)),(INDEX($A$32:$J$44,MATCH($M24,$A$32:$A$44,0),MATCH(T$1,$A$1:$J$1,0))-INDEX($A$32:$J$44,MATCH($M24,$A$32:$A$44,0)-1,MATCH(T$1,$A$1:$J$1,0)))/12+T23)</f>
        <v>7</v>
      </c>
      <c r="U24" s="46" cm="1">
        <f t="array" ref="U24">IF($N24=12,INDEX($A$32:$J$44,MATCH($M24,$A$32:$A$44,0),MATCH(U$1,$A$1:$J$1,0)),(INDEX($A$32:$J$44,MATCH($M24,$A$32:$A$44,0),MATCH(U$1,$A$1:$J$1,0))-INDEX($A$32:$J$44,MATCH($M24,$A$32:$A$44,0)-1,MATCH(U$1,$A$1:$J$1,0)))/12+U23)</f>
        <v>4</v>
      </c>
      <c r="V24" s="46" cm="1">
        <f t="array" ref="V24">IF($N24=12,INDEX($A$32:$J$44,MATCH($M24,$A$32:$A$44,0),MATCH(V$1,$A$1:$J$1,0)),(INDEX($A$32:$J$44,MATCH($M24,$A$32:$A$44,0),MATCH(V$1,$A$1:$J$1,0))-INDEX($A$32:$J$44,MATCH($M24,$A$32:$A$44,0)-1,MATCH(V$1,$A$1:$J$1,0)))/12+V23)</f>
        <v>14184.583333333327</v>
      </c>
      <c r="W24" s="46" cm="1">
        <f t="array" ref="W24">IF($N24=12,INDEX($A$32:$J$44,MATCH($M24,$A$32:$A$44,0),MATCH(W$1,$A$1:$J$1,0)),(INDEX($A$32:$J$44,MATCH($M24,$A$32:$A$44,0),MATCH(W$1,$A$1:$J$1,0))-INDEX($A$32:$J$44,MATCH($M24,$A$32:$A$44,0)-1,MATCH(W$1,$A$1:$J$1,0)))/12+W23)</f>
        <v>11489.25</v>
      </c>
      <c r="X24" s="46"/>
    </row>
    <row r="25" spans="1:24" x14ac:dyDescent="0.2">
      <c r="A25" s="4">
        <v>2019</v>
      </c>
      <c r="B25" s="17">
        <f t="shared" ref="B25:H25" si="19">B10/B9</f>
        <v>1.0119170799586112</v>
      </c>
      <c r="C25" s="17">
        <f t="shared" si="19"/>
        <v>0.99956246634356516</v>
      </c>
      <c r="D25" s="17">
        <f t="shared" si="19"/>
        <v>0.99694189602446526</v>
      </c>
      <c r="E25" s="17">
        <f t="shared" si="19"/>
        <v>1.0122593918214355</v>
      </c>
      <c r="F25" s="17">
        <f t="shared" si="19"/>
        <v>1.0145310435931312</v>
      </c>
      <c r="G25" s="17">
        <f t="shared" si="19"/>
        <v>1</v>
      </c>
      <c r="H25" s="17">
        <f t="shared" si="19"/>
        <v>1</v>
      </c>
      <c r="L25" s="211">
        <f>'Purchased Power Model'!A26</f>
        <v>41244</v>
      </c>
      <c r="M25" s="212">
        <f>'Purchased Power Model'!B26</f>
        <v>2012</v>
      </c>
      <c r="N25" s="212">
        <f>'Purchased Power Model'!C26</f>
        <v>12</v>
      </c>
      <c r="O25" s="46" cm="1">
        <f t="array" ref="O25">IF($N25=12,INDEX($A$32:$J$44,MATCH($M25,$A$32:$A$44,0),MATCH(O$1,$A$1:$J$1,0)),(INDEX($A$32:$J$44,MATCH($M25,$A$32:$A$44,0),MATCH(O$1,$A$1:$J$1,0))-INDEX($A$32:$J$44,MATCH($M25,$A$32:$A$44,0)-1,MATCH(O$1,$A$1:$J$1,0)))/12+O24)</f>
        <v>10051</v>
      </c>
      <c r="P25" s="46" cm="1">
        <f t="array" ref="P25">IF($N25=12,INDEX($A$32:$J$44,MATCH($M25,$A$32:$A$44,0),MATCH(P$1,$A$1:$J$1,0)),(INDEX($A$32:$J$44,MATCH($M25,$A$32:$A$44,0),MATCH(P$1,$A$1:$J$1,0))-INDEX($A$32:$J$44,MATCH($M25,$A$32:$A$44,0)-1,MATCH(P$1,$A$1:$J$1,0)))/12+P24)</f>
        <v>1209</v>
      </c>
      <c r="Q25" s="46" cm="1">
        <f t="array" ref="Q25">IF($N25=12,INDEX($A$32:$J$44,MATCH($M25,$A$32:$A$44,0),MATCH(Q$1,$A$1:$J$1,0)),(INDEX($A$32:$J$44,MATCH($M25,$A$32:$A$44,0),MATCH(Q$1,$A$1:$J$1,0))-INDEX($A$32:$J$44,MATCH($M25,$A$32:$A$44,0)-1,MATCH(Q$1,$A$1:$J$1,0)))/12+Q24)</f>
        <v>88</v>
      </c>
      <c r="R25" s="46" cm="1">
        <f t="array" ref="R25">IF($N25=12,INDEX($A$32:$J$44,MATCH($M25,$A$32:$A$44,0),MATCH(R$1,$A$1:$J$1,0)),(INDEX($A$32:$J$44,MATCH($M25,$A$32:$A$44,0),MATCH(R$1,$A$1:$J$1,0))-INDEX($A$32:$J$44,MATCH($M25,$A$32:$A$44,0)-1,MATCH(R$1,$A$1:$J$1,0)))/12+R24)</f>
        <v>2803</v>
      </c>
      <c r="S25" s="46" cm="1">
        <f t="array" ref="S25">IF($N25=12,INDEX($A$32:$J$44,MATCH($M25,$A$32:$A$44,0),MATCH(S$1,$A$1:$J$1,0)),(INDEX($A$32:$J$44,MATCH($M25,$A$32:$A$44,0),MATCH(S$1,$A$1:$J$1,0))-INDEX($A$32:$J$44,MATCH($M25,$A$32:$A$44,0)-1,MATCH(S$1,$A$1:$J$1,0)))/12+S24)</f>
        <v>31</v>
      </c>
      <c r="T25" s="46" cm="1">
        <f t="array" ref="T25">IF($N25=12,INDEX($A$32:$J$44,MATCH($M25,$A$32:$A$44,0),MATCH(T$1,$A$1:$J$1,0)),(INDEX($A$32:$J$44,MATCH($M25,$A$32:$A$44,0),MATCH(T$1,$A$1:$J$1,0))-INDEX($A$32:$J$44,MATCH($M25,$A$32:$A$44,0)-1,MATCH(T$1,$A$1:$J$1,0)))/12+T24)</f>
        <v>7</v>
      </c>
      <c r="U25" s="46" cm="1">
        <f t="array" ref="U25">IF($N25=12,INDEX($A$32:$J$44,MATCH($M25,$A$32:$A$44,0),MATCH(U$1,$A$1:$J$1,0)),(INDEX($A$32:$J$44,MATCH($M25,$A$32:$A$44,0),MATCH(U$1,$A$1:$J$1,0))-INDEX($A$32:$J$44,MATCH($M25,$A$32:$A$44,0)-1,MATCH(U$1,$A$1:$J$1,0)))/12+U24)</f>
        <v>4</v>
      </c>
      <c r="V25" s="46" cm="1">
        <f t="array" ref="V25">IF($N25=12,INDEX($A$32:$J$44,MATCH($M25,$A$32:$A$44,0),MATCH(V$1,$A$1:$J$1,0)),(INDEX($A$32:$J$44,MATCH($M25,$A$32:$A$44,0),MATCH(V$1,$A$1:$J$1,0))-INDEX($A$32:$J$44,MATCH($M25,$A$32:$A$44,0)-1,MATCH(V$1,$A$1:$J$1,0)))/12+V24)</f>
        <v>14193</v>
      </c>
      <c r="W25" s="46" cm="1">
        <f t="array" ref="W25">IF($N25=12,INDEX($A$32:$J$44,MATCH($M25,$A$32:$A$44,0),MATCH(W$1,$A$1:$J$1,0)),(INDEX($A$32:$J$44,MATCH($M25,$A$32:$A$44,0),MATCH(W$1,$A$1:$J$1,0))-INDEX($A$32:$J$44,MATCH($M25,$A$32:$A$44,0)-1,MATCH(W$1,$A$1:$J$1,0)))/12+W24)</f>
        <v>11497</v>
      </c>
      <c r="X25" s="46"/>
    </row>
    <row r="26" spans="1:24" x14ac:dyDescent="0.2">
      <c r="A26" s="4">
        <v>2020</v>
      </c>
      <c r="B26" s="17">
        <f>B11/B10</f>
        <v>1.0138531394834061</v>
      </c>
      <c r="C26" s="17">
        <f t="shared" ref="C26:H26" si="20">C11/C10</f>
        <v>1.0066332199737358</v>
      </c>
      <c r="D26" s="17">
        <f t="shared" si="20"/>
        <v>1.0210341805433829</v>
      </c>
      <c r="E26" s="17">
        <f t="shared" si="20"/>
        <v>1.0176791580822977</v>
      </c>
      <c r="F26" s="17">
        <f t="shared" si="20"/>
        <v>1</v>
      </c>
      <c r="G26" s="17">
        <f t="shared" si="20"/>
        <v>1</v>
      </c>
      <c r="H26" s="17">
        <f t="shared" si="20"/>
        <v>1</v>
      </c>
      <c r="L26" s="211">
        <f>'Purchased Power Model'!A27</f>
        <v>41275</v>
      </c>
      <c r="M26" s="212">
        <f>'Purchased Power Model'!B27</f>
        <v>2013</v>
      </c>
      <c r="N26" s="212">
        <f>'Purchased Power Model'!C27</f>
        <v>1</v>
      </c>
      <c r="O26" s="46" cm="1">
        <f t="array" ref="O26">IF($N26=12,INDEX($A$32:$J$44,MATCH($M26,$A$32:$A$44,0),MATCH(O$1,$A$1:$J$1,0)),(INDEX($A$32:$J$44,MATCH($M26,$A$32:$A$44,0),MATCH(O$1,$A$1:$J$1,0))-INDEX($A$32:$J$44,MATCH($M26,$A$32:$A$44,0)-1,MATCH(O$1,$A$1:$J$1,0)))/12+O25)</f>
        <v>10056.25</v>
      </c>
      <c r="P26" s="46" cm="1">
        <f t="array" ref="P26">IF($N26=12,INDEX($A$32:$J$44,MATCH($M26,$A$32:$A$44,0),MATCH(P$1,$A$1:$J$1,0)),(INDEX($A$32:$J$44,MATCH($M26,$A$32:$A$44,0),MATCH(P$1,$A$1:$J$1,0))-INDEX($A$32:$J$44,MATCH($M26,$A$32:$A$44,0)-1,MATCH(P$1,$A$1:$J$1,0)))/12+P25)</f>
        <v>1208.75</v>
      </c>
      <c r="Q26" s="46" cm="1">
        <f t="array" ref="Q26">IF($N26=12,INDEX($A$32:$J$44,MATCH($M26,$A$32:$A$44,0),MATCH(Q$1,$A$1:$J$1,0)),(INDEX($A$32:$J$44,MATCH($M26,$A$32:$A$44,0),MATCH(Q$1,$A$1:$J$1,0))-INDEX($A$32:$J$44,MATCH($M26,$A$32:$A$44,0)-1,MATCH(Q$1,$A$1:$J$1,0)))/12+Q25)</f>
        <v>88.166666666666671</v>
      </c>
      <c r="R26" s="46" cm="1">
        <f t="array" ref="R26">IF($N26=12,INDEX($A$32:$J$44,MATCH($M26,$A$32:$A$44,0),MATCH(R$1,$A$1:$J$1,0)),(INDEX($A$32:$J$44,MATCH($M26,$A$32:$A$44,0),MATCH(R$1,$A$1:$J$1,0))-INDEX($A$32:$J$44,MATCH($M26,$A$32:$A$44,0)-1,MATCH(R$1,$A$1:$J$1,0)))/12+R25)</f>
        <v>2803.75</v>
      </c>
      <c r="S26" s="46" cm="1">
        <f t="array" ref="S26">IF($N26=12,INDEX($A$32:$J$44,MATCH($M26,$A$32:$A$44,0),MATCH(S$1,$A$1:$J$1,0)),(INDEX($A$32:$J$44,MATCH($M26,$A$32:$A$44,0),MATCH(S$1,$A$1:$J$1,0))-INDEX($A$32:$J$44,MATCH($M26,$A$32:$A$44,0)-1,MATCH(S$1,$A$1:$J$1,0)))/12+S25)</f>
        <v>31</v>
      </c>
      <c r="T26" s="46" cm="1">
        <f t="array" ref="T26">IF($N26=12,INDEX($A$32:$J$44,MATCH($M26,$A$32:$A$44,0),MATCH(T$1,$A$1:$J$1,0)),(INDEX($A$32:$J$44,MATCH($M26,$A$32:$A$44,0),MATCH(T$1,$A$1:$J$1,0))-INDEX($A$32:$J$44,MATCH($M26,$A$32:$A$44,0)-1,MATCH(T$1,$A$1:$J$1,0)))/12+T25)</f>
        <v>7</v>
      </c>
      <c r="U26" s="46" cm="1">
        <f t="array" ref="U26">IF($N26=12,INDEX($A$32:$J$44,MATCH($M26,$A$32:$A$44,0),MATCH(U$1,$A$1:$J$1,0)),(INDEX($A$32:$J$44,MATCH($M26,$A$32:$A$44,0),MATCH(U$1,$A$1:$J$1,0))-INDEX($A$32:$J$44,MATCH($M26,$A$32:$A$44,0)-1,MATCH(U$1,$A$1:$J$1,0)))/12+U25)</f>
        <v>4</v>
      </c>
      <c r="V26" s="46" cm="1">
        <f t="array" ref="V26">IF($N26=12,INDEX($A$32:$J$44,MATCH($M26,$A$32:$A$44,0),MATCH(V$1,$A$1:$J$1,0)),(INDEX($A$32:$J$44,MATCH($M26,$A$32:$A$44,0),MATCH(V$1,$A$1:$J$1,0))-INDEX($A$32:$J$44,MATCH($M26,$A$32:$A$44,0)-1,MATCH(V$1,$A$1:$J$1,0)))/12+V25)</f>
        <v>14198.916666666666</v>
      </c>
      <c r="W26" s="46" cm="1">
        <f t="array" ref="W26">IF($N26=12,INDEX($A$32:$J$44,MATCH($M26,$A$32:$A$44,0),MATCH(W$1,$A$1:$J$1,0)),(INDEX($A$32:$J$44,MATCH($M26,$A$32:$A$44,0),MATCH(W$1,$A$1:$J$1,0))-INDEX($A$32:$J$44,MATCH($M26,$A$32:$A$44,0)-1,MATCH(W$1,$A$1:$J$1,0)))/12+W25)</f>
        <v>11502.166666666666</v>
      </c>
    </row>
    <row r="27" spans="1:24" x14ac:dyDescent="0.2">
      <c r="A27" s="4"/>
      <c r="B27" s="17"/>
      <c r="C27" s="17"/>
      <c r="D27" s="17"/>
      <c r="E27" s="17"/>
      <c r="F27" s="17"/>
      <c r="G27" s="17"/>
      <c r="H27" s="17"/>
      <c r="L27" s="211">
        <f>'Purchased Power Model'!A28</f>
        <v>41306</v>
      </c>
      <c r="M27" s="212">
        <f>'Purchased Power Model'!B28</f>
        <v>2013</v>
      </c>
      <c r="N27" s="212">
        <f>'Purchased Power Model'!C28</f>
        <v>2</v>
      </c>
      <c r="O27" s="46" cm="1">
        <f t="array" ref="O27">IF($N27=12,INDEX($A$32:$J$44,MATCH($M27,$A$32:$A$44,0),MATCH(O$1,$A$1:$J$1,0)),(INDEX($A$32:$J$44,MATCH($M27,$A$32:$A$44,0),MATCH(O$1,$A$1:$J$1,0))-INDEX($A$32:$J$44,MATCH($M27,$A$32:$A$44,0)-1,MATCH(O$1,$A$1:$J$1,0)))/12+O26)</f>
        <v>10061.5</v>
      </c>
      <c r="P27" s="46" cm="1">
        <f t="array" ref="P27">IF($N27=12,INDEX($A$32:$J$44,MATCH($M27,$A$32:$A$44,0),MATCH(P$1,$A$1:$J$1,0)),(INDEX($A$32:$J$44,MATCH($M27,$A$32:$A$44,0),MATCH(P$1,$A$1:$J$1,0))-INDEX($A$32:$J$44,MATCH($M27,$A$32:$A$44,0)-1,MATCH(P$1,$A$1:$J$1,0)))/12+P26)</f>
        <v>1208.5</v>
      </c>
      <c r="Q27" s="46" cm="1">
        <f t="array" ref="Q27">IF($N27=12,INDEX($A$32:$J$44,MATCH($M27,$A$32:$A$44,0),MATCH(Q$1,$A$1:$J$1,0)),(INDEX($A$32:$J$44,MATCH($M27,$A$32:$A$44,0),MATCH(Q$1,$A$1:$J$1,0))-INDEX($A$32:$J$44,MATCH($M27,$A$32:$A$44,0)-1,MATCH(Q$1,$A$1:$J$1,0)))/12+Q26)</f>
        <v>88.333333333333343</v>
      </c>
      <c r="R27" s="46" cm="1">
        <f t="array" ref="R27">IF($N27=12,INDEX($A$32:$J$44,MATCH($M27,$A$32:$A$44,0),MATCH(R$1,$A$1:$J$1,0)),(INDEX($A$32:$J$44,MATCH($M27,$A$32:$A$44,0),MATCH(R$1,$A$1:$J$1,0))-INDEX($A$32:$J$44,MATCH($M27,$A$32:$A$44,0)-1,MATCH(R$1,$A$1:$J$1,0)))/12+R26)</f>
        <v>2804.5</v>
      </c>
      <c r="S27" s="46" cm="1">
        <f t="array" ref="S27">IF($N27=12,INDEX($A$32:$J$44,MATCH($M27,$A$32:$A$44,0),MATCH(S$1,$A$1:$J$1,0)),(INDEX($A$32:$J$44,MATCH($M27,$A$32:$A$44,0),MATCH(S$1,$A$1:$J$1,0))-INDEX($A$32:$J$44,MATCH($M27,$A$32:$A$44,0)-1,MATCH(S$1,$A$1:$J$1,0)))/12+S26)</f>
        <v>31</v>
      </c>
      <c r="T27" s="46" cm="1">
        <f t="array" ref="T27">IF($N27=12,INDEX($A$32:$J$44,MATCH($M27,$A$32:$A$44,0),MATCH(T$1,$A$1:$J$1,0)),(INDEX($A$32:$J$44,MATCH($M27,$A$32:$A$44,0),MATCH(T$1,$A$1:$J$1,0))-INDEX($A$32:$J$44,MATCH($M27,$A$32:$A$44,0)-1,MATCH(T$1,$A$1:$J$1,0)))/12+T26)</f>
        <v>7</v>
      </c>
      <c r="U27" s="46" cm="1">
        <f t="array" ref="U27">IF($N27=12,INDEX($A$32:$J$44,MATCH($M27,$A$32:$A$44,0),MATCH(U$1,$A$1:$J$1,0)),(INDEX($A$32:$J$44,MATCH($M27,$A$32:$A$44,0),MATCH(U$1,$A$1:$J$1,0))-INDEX($A$32:$J$44,MATCH($M27,$A$32:$A$44,0)-1,MATCH(U$1,$A$1:$J$1,0)))/12+U26)</f>
        <v>4</v>
      </c>
      <c r="V27" s="46" cm="1">
        <f t="array" ref="V27">IF($N27=12,INDEX($A$32:$J$44,MATCH($M27,$A$32:$A$44,0),MATCH(V$1,$A$1:$J$1,0)),(INDEX($A$32:$J$44,MATCH($M27,$A$32:$A$44,0),MATCH(V$1,$A$1:$J$1,0))-INDEX($A$32:$J$44,MATCH($M27,$A$32:$A$44,0)-1,MATCH(V$1,$A$1:$J$1,0)))/12+V26)</f>
        <v>14204.833333333332</v>
      </c>
      <c r="W27" s="46" cm="1">
        <f t="array" ref="W27">IF($N27=12,INDEX($A$32:$J$44,MATCH($M27,$A$32:$A$44,0),MATCH(W$1,$A$1:$J$1,0)),(INDEX($A$32:$J$44,MATCH($M27,$A$32:$A$44,0),MATCH(W$1,$A$1:$J$1,0))-INDEX($A$32:$J$44,MATCH($M27,$A$32:$A$44,0)-1,MATCH(W$1,$A$1:$J$1,0)))/12+W26)</f>
        <v>11507.333333333332</v>
      </c>
    </row>
    <row r="28" spans="1:24" x14ac:dyDescent="0.2">
      <c r="A28" t="s">
        <v>33</v>
      </c>
      <c r="B28" s="18">
        <f>B30</f>
        <v>1.0091482117089026</v>
      </c>
      <c r="C28" s="18">
        <f>C30</f>
        <v>1.0046634415201745</v>
      </c>
      <c r="D28" s="18">
        <f>D30</f>
        <v>1.0029029204575286</v>
      </c>
      <c r="E28" s="18">
        <f>E30</f>
        <v>1.0098100080019701</v>
      </c>
      <c r="F28" s="18">
        <v>1</v>
      </c>
      <c r="G28" s="18">
        <v>1</v>
      </c>
      <c r="H28" s="18">
        <v>1</v>
      </c>
      <c r="L28" s="211">
        <f>'Purchased Power Model'!A29</f>
        <v>41334</v>
      </c>
      <c r="M28" s="212">
        <f>'Purchased Power Model'!B29</f>
        <v>2013</v>
      </c>
      <c r="N28" s="212">
        <f>'Purchased Power Model'!C29</f>
        <v>3</v>
      </c>
      <c r="O28" s="46" cm="1">
        <f t="array" ref="O28">IF($N28=12,INDEX($A$32:$J$44,MATCH($M28,$A$32:$A$44,0),MATCH(O$1,$A$1:$J$1,0)),(INDEX($A$32:$J$44,MATCH($M28,$A$32:$A$44,0),MATCH(O$1,$A$1:$J$1,0))-INDEX($A$32:$J$44,MATCH($M28,$A$32:$A$44,0)-1,MATCH(O$1,$A$1:$J$1,0)))/12+O27)</f>
        <v>10066.75</v>
      </c>
      <c r="P28" s="46" cm="1">
        <f t="array" ref="P28">IF($N28=12,INDEX($A$32:$J$44,MATCH($M28,$A$32:$A$44,0),MATCH(P$1,$A$1:$J$1,0)),(INDEX($A$32:$J$44,MATCH($M28,$A$32:$A$44,0),MATCH(P$1,$A$1:$J$1,0))-INDEX($A$32:$J$44,MATCH($M28,$A$32:$A$44,0)-1,MATCH(P$1,$A$1:$J$1,0)))/12+P27)</f>
        <v>1208.25</v>
      </c>
      <c r="Q28" s="46" cm="1">
        <f t="array" ref="Q28">IF($N28=12,INDEX($A$32:$J$44,MATCH($M28,$A$32:$A$44,0),MATCH(Q$1,$A$1:$J$1,0)),(INDEX($A$32:$J$44,MATCH($M28,$A$32:$A$44,0),MATCH(Q$1,$A$1:$J$1,0))-INDEX($A$32:$J$44,MATCH($M28,$A$32:$A$44,0)-1,MATCH(Q$1,$A$1:$J$1,0)))/12+Q27)</f>
        <v>88.500000000000014</v>
      </c>
      <c r="R28" s="46" cm="1">
        <f t="array" ref="R28">IF($N28=12,INDEX($A$32:$J$44,MATCH($M28,$A$32:$A$44,0),MATCH(R$1,$A$1:$J$1,0)),(INDEX($A$32:$J$44,MATCH($M28,$A$32:$A$44,0),MATCH(R$1,$A$1:$J$1,0))-INDEX($A$32:$J$44,MATCH($M28,$A$32:$A$44,0)-1,MATCH(R$1,$A$1:$J$1,0)))/12+R27)</f>
        <v>2805.25</v>
      </c>
      <c r="S28" s="46" cm="1">
        <f t="array" ref="S28">IF($N28=12,INDEX($A$32:$J$44,MATCH($M28,$A$32:$A$44,0),MATCH(S$1,$A$1:$J$1,0)),(INDEX($A$32:$J$44,MATCH($M28,$A$32:$A$44,0),MATCH(S$1,$A$1:$J$1,0))-INDEX($A$32:$J$44,MATCH($M28,$A$32:$A$44,0)-1,MATCH(S$1,$A$1:$J$1,0)))/12+S27)</f>
        <v>31</v>
      </c>
      <c r="T28" s="46" cm="1">
        <f t="array" ref="T28">IF($N28=12,INDEX($A$32:$J$44,MATCH($M28,$A$32:$A$44,0),MATCH(T$1,$A$1:$J$1,0)),(INDEX($A$32:$J$44,MATCH($M28,$A$32:$A$44,0),MATCH(T$1,$A$1:$J$1,0))-INDEX($A$32:$J$44,MATCH($M28,$A$32:$A$44,0)-1,MATCH(T$1,$A$1:$J$1,0)))/12+T27)</f>
        <v>7</v>
      </c>
      <c r="U28" s="46" cm="1">
        <f t="array" ref="U28">IF($N28=12,INDEX($A$32:$J$44,MATCH($M28,$A$32:$A$44,0),MATCH(U$1,$A$1:$J$1,0)),(INDEX($A$32:$J$44,MATCH($M28,$A$32:$A$44,0),MATCH(U$1,$A$1:$J$1,0))-INDEX($A$32:$J$44,MATCH($M28,$A$32:$A$44,0)-1,MATCH(U$1,$A$1:$J$1,0)))/12+U27)</f>
        <v>4</v>
      </c>
      <c r="V28" s="46" cm="1">
        <f t="array" ref="V28">IF($N28=12,INDEX($A$32:$J$44,MATCH($M28,$A$32:$A$44,0),MATCH(V$1,$A$1:$J$1,0)),(INDEX($A$32:$J$44,MATCH($M28,$A$32:$A$44,0),MATCH(V$1,$A$1:$J$1,0))-INDEX($A$32:$J$44,MATCH($M28,$A$32:$A$44,0)-1,MATCH(V$1,$A$1:$J$1,0)))/12+V27)</f>
        <v>14210.749999999998</v>
      </c>
      <c r="W28" s="46" cm="1">
        <f t="array" ref="W28">IF($N28=12,INDEX($A$32:$J$44,MATCH($M28,$A$32:$A$44,0),MATCH(W$1,$A$1:$J$1,0)),(INDEX($A$32:$J$44,MATCH($M28,$A$32:$A$44,0),MATCH(W$1,$A$1:$J$1,0))-INDEX($A$32:$J$44,MATCH($M28,$A$32:$A$44,0)-1,MATCH(W$1,$A$1:$J$1,0)))/12+W27)</f>
        <v>11512.499999999998</v>
      </c>
    </row>
    <row r="29" spans="1:24" x14ac:dyDescent="0.2">
      <c r="B29" s="18"/>
      <c r="C29" s="18"/>
      <c r="D29" s="18"/>
      <c r="E29" s="18"/>
      <c r="F29" s="18"/>
      <c r="G29" s="18"/>
      <c r="H29" s="18"/>
      <c r="L29" s="211">
        <f>'Purchased Power Model'!A30</f>
        <v>41365</v>
      </c>
      <c r="M29" s="212">
        <f>'Purchased Power Model'!B30</f>
        <v>2013</v>
      </c>
      <c r="N29" s="212">
        <f>'Purchased Power Model'!C30</f>
        <v>4</v>
      </c>
      <c r="O29" s="46" cm="1">
        <f t="array" ref="O29">IF($N29=12,INDEX($A$32:$J$44,MATCH($M29,$A$32:$A$44,0),MATCH(O$1,$A$1:$J$1,0)),(INDEX($A$32:$J$44,MATCH($M29,$A$32:$A$44,0),MATCH(O$1,$A$1:$J$1,0))-INDEX($A$32:$J$44,MATCH($M29,$A$32:$A$44,0)-1,MATCH(O$1,$A$1:$J$1,0)))/12+O28)</f>
        <v>10072</v>
      </c>
      <c r="P29" s="46" cm="1">
        <f t="array" ref="P29">IF($N29=12,INDEX($A$32:$J$44,MATCH($M29,$A$32:$A$44,0),MATCH(P$1,$A$1:$J$1,0)),(INDEX($A$32:$J$44,MATCH($M29,$A$32:$A$44,0),MATCH(P$1,$A$1:$J$1,0))-INDEX($A$32:$J$44,MATCH($M29,$A$32:$A$44,0)-1,MATCH(P$1,$A$1:$J$1,0)))/12+P28)</f>
        <v>1208</v>
      </c>
      <c r="Q29" s="46" cm="1">
        <f t="array" ref="Q29">IF($N29=12,INDEX($A$32:$J$44,MATCH($M29,$A$32:$A$44,0),MATCH(Q$1,$A$1:$J$1,0)),(INDEX($A$32:$J$44,MATCH($M29,$A$32:$A$44,0),MATCH(Q$1,$A$1:$J$1,0))-INDEX($A$32:$J$44,MATCH($M29,$A$32:$A$44,0)-1,MATCH(Q$1,$A$1:$J$1,0)))/12+Q28)</f>
        <v>88.666666666666686</v>
      </c>
      <c r="R29" s="46" cm="1">
        <f t="array" ref="R29">IF($N29=12,INDEX($A$32:$J$44,MATCH($M29,$A$32:$A$44,0),MATCH(R$1,$A$1:$J$1,0)),(INDEX($A$32:$J$44,MATCH($M29,$A$32:$A$44,0),MATCH(R$1,$A$1:$J$1,0))-INDEX($A$32:$J$44,MATCH($M29,$A$32:$A$44,0)-1,MATCH(R$1,$A$1:$J$1,0)))/12+R28)</f>
        <v>2806</v>
      </c>
      <c r="S29" s="46" cm="1">
        <f t="array" ref="S29">IF($N29=12,INDEX($A$32:$J$44,MATCH($M29,$A$32:$A$44,0),MATCH(S$1,$A$1:$J$1,0)),(INDEX($A$32:$J$44,MATCH($M29,$A$32:$A$44,0),MATCH(S$1,$A$1:$J$1,0))-INDEX($A$32:$J$44,MATCH($M29,$A$32:$A$44,0)-1,MATCH(S$1,$A$1:$J$1,0)))/12+S28)</f>
        <v>31</v>
      </c>
      <c r="T29" s="46" cm="1">
        <f t="array" ref="T29">IF($N29=12,INDEX($A$32:$J$44,MATCH($M29,$A$32:$A$44,0),MATCH(T$1,$A$1:$J$1,0)),(INDEX($A$32:$J$44,MATCH($M29,$A$32:$A$44,0),MATCH(T$1,$A$1:$J$1,0))-INDEX($A$32:$J$44,MATCH($M29,$A$32:$A$44,0)-1,MATCH(T$1,$A$1:$J$1,0)))/12+T28)</f>
        <v>7</v>
      </c>
      <c r="U29" s="46" cm="1">
        <f t="array" ref="U29">IF($N29=12,INDEX($A$32:$J$44,MATCH($M29,$A$32:$A$44,0),MATCH(U$1,$A$1:$J$1,0)),(INDEX($A$32:$J$44,MATCH($M29,$A$32:$A$44,0),MATCH(U$1,$A$1:$J$1,0))-INDEX($A$32:$J$44,MATCH($M29,$A$32:$A$44,0)-1,MATCH(U$1,$A$1:$J$1,0)))/12+U28)</f>
        <v>4</v>
      </c>
      <c r="V29" s="46" cm="1">
        <f t="array" ref="V29">IF($N29=12,INDEX($A$32:$J$44,MATCH($M29,$A$32:$A$44,0),MATCH(V$1,$A$1:$J$1,0)),(INDEX($A$32:$J$44,MATCH($M29,$A$32:$A$44,0),MATCH(V$1,$A$1:$J$1,0))-INDEX($A$32:$J$44,MATCH($M29,$A$32:$A$44,0)-1,MATCH(V$1,$A$1:$J$1,0)))/12+V28)</f>
        <v>14216.666666666664</v>
      </c>
      <c r="W29" s="46" cm="1">
        <f t="array" ref="W29">IF($N29=12,INDEX($A$32:$J$44,MATCH($M29,$A$32:$A$44,0),MATCH(W$1,$A$1:$J$1,0)),(INDEX($A$32:$J$44,MATCH($M29,$A$32:$A$44,0),MATCH(W$1,$A$1:$J$1,0))-INDEX($A$32:$J$44,MATCH($M29,$A$32:$A$44,0)-1,MATCH(W$1,$A$1:$J$1,0)))/12+W28)</f>
        <v>11517.666666666664</v>
      </c>
    </row>
    <row r="30" spans="1:24" x14ac:dyDescent="0.2">
      <c r="A30" t="s">
        <v>10</v>
      </c>
      <c r="B30" s="18">
        <f>GEOMEAN(B18:B26)</f>
        <v>1.0091482117089026</v>
      </c>
      <c r="C30" s="18">
        <f t="shared" ref="C30:H30" si="21">GEOMEAN(C18:C26)</f>
        <v>1.0046634415201745</v>
      </c>
      <c r="D30" s="18">
        <f t="shared" si="21"/>
        <v>1.0029029204575286</v>
      </c>
      <c r="E30" s="18">
        <f t="shared" si="21"/>
        <v>1.0098100080019701</v>
      </c>
      <c r="F30" s="18">
        <f t="shared" si="21"/>
        <v>0.99842110191503919</v>
      </c>
      <c r="G30" s="18">
        <f t="shared" si="21"/>
        <v>1.1036128907059806</v>
      </c>
      <c r="H30" s="18">
        <f t="shared" si="21"/>
        <v>1.0460819186432146</v>
      </c>
      <c r="L30" s="211">
        <f>'Purchased Power Model'!A31</f>
        <v>41395</v>
      </c>
      <c r="M30" s="212">
        <f>'Purchased Power Model'!B31</f>
        <v>2013</v>
      </c>
      <c r="N30" s="212">
        <f>'Purchased Power Model'!C31</f>
        <v>5</v>
      </c>
      <c r="O30" s="46" cm="1">
        <f t="array" ref="O30">IF($N30=12,INDEX($A$32:$J$44,MATCH($M30,$A$32:$A$44,0),MATCH(O$1,$A$1:$J$1,0)),(INDEX($A$32:$J$44,MATCH($M30,$A$32:$A$44,0),MATCH(O$1,$A$1:$J$1,0))-INDEX($A$32:$J$44,MATCH($M30,$A$32:$A$44,0)-1,MATCH(O$1,$A$1:$J$1,0)))/12+O29)</f>
        <v>10077.25</v>
      </c>
      <c r="P30" s="46" cm="1">
        <f t="array" ref="P30">IF($N30=12,INDEX($A$32:$J$44,MATCH($M30,$A$32:$A$44,0),MATCH(P$1,$A$1:$J$1,0)),(INDEX($A$32:$J$44,MATCH($M30,$A$32:$A$44,0),MATCH(P$1,$A$1:$J$1,0))-INDEX($A$32:$J$44,MATCH($M30,$A$32:$A$44,0)-1,MATCH(P$1,$A$1:$J$1,0)))/12+P29)</f>
        <v>1207.75</v>
      </c>
      <c r="Q30" s="46" cm="1">
        <f t="array" ref="Q30">IF($N30=12,INDEX($A$32:$J$44,MATCH($M30,$A$32:$A$44,0),MATCH(Q$1,$A$1:$J$1,0)),(INDEX($A$32:$J$44,MATCH($M30,$A$32:$A$44,0),MATCH(Q$1,$A$1:$J$1,0))-INDEX($A$32:$J$44,MATCH($M30,$A$32:$A$44,0)-1,MATCH(Q$1,$A$1:$J$1,0)))/12+Q29)</f>
        <v>88.833333333333357</v>
      </c>
      <c r="R30" s="46" cm="1">
        <f t="array" ref="R30">IF($N30=12,INDEX($A$32:$J$44,MATCH($M30,$A$32:$A$44,0),MATCH(R$1,$A$1:$J$1,0)),(INDEX($A$32:$J$44,MATCH($M30,$A$32:$A$44,0),MATCH(R$1,$A$1:$J$1,0))-INDEX($A$32:$J$44,MATCH($M30,$A$32:$A$44,0)-1,MATCH(R$1,$A$1:$J$1,0)))/12+R29)</f>
        <v>2806.75</v>
      </c>
      <c r="S30" s="46" cm="1">
        <f t="array" ref="S30">IF($N30=12,INDEX($A$32:$J$44,MATCH($M30,$A$32:$A$44,0),MATCH(S$1,$A$1:$J$1,0)),(INDEX($A$32:$J$44,MATCH($M30,$A$32:$A$44,0),MATCH(S$1,$A$1:$J$1,0))-INDEX($A$32:$J$44,MATCH($M30,$A$32:$A$44,0)-1,MATCH(S$1,$A$1:$J$1,0)))/12+S29)</f>
        <v>31</v>
      </c>
      <c r="T30" s="46" cm="1">
        <f t="array" ref="T30">IF($N30=12,INDEX($A$32:$J$44,MATCH($M30,$A$32:$A$44,0),MATCH(T$1,$A$1:$J$1,0)),(INDEX($A$32:$J$44,MATCH($M30,$A$32:$A$44,0),MATCH(T$1,$A$1:$J$1,0))-INDEX($A$32:$J$44,MATCH($M30,$A$32:$A$44,0)-1,MATCH(T$1,$A$1:$J$1,0)))/12+T29)</f>
        <v>7</v>
      </c>
      <c r="U30" s="46" cm="1">
        <f t="array" ref="U30">IF($N30=12,INDEX($A$32:$J$44,MATCH($M30,$A$32:$A$44,0),MATCH(U$1,$A$1:$J$1,0)),(INDEX($A$32:$J$44,MATCH($M30,$A$32:$A$44,0),MATCH(U$1,$A$1:$J$1,0))-INDEX($A$32:$J$44,MATCH($M30,$A$32:$A$44,0)-1,MATCH(U$1,$A$1:$J$1,0)))/12+U29)</f>
        <v>4</v>
      </c>
      <c r="V30" s="46" cm="1">
        <f t="array" ref="V30">IF($N30=12,INDEX($A$32:$J$44,MATCH($M30,$A$32:$A$44,0),MATCH(V$1,$A$1:$J$1,0)),(INDEX($A$32:$J$44,MATCH($M30,$A$32:$A$44,0),MATCH(V$1,$A$1:$J$1,0))-INDEX($A$32:$J$44,MATCH($M30,$A$32:$A$44,0)-1,MATCH(V$1,$A$1:$J$1,0)))/12+V29)</f>
        <v>14222.58333333333</v>
      </c>
      <c r="W30" s="46" cm="1">
        <f t="array" ref="W30">IF($N30=12,INDEX($A$32:$J$44,MATCH($M30,$A$32:$A$44,0),MATCH(W$1,$A$1:$J$1,0)),(INDEX($A$32:$J$44,MATCH($M30,$A$32:$A$44,0),MATCH(W$1,$A$1:$J$1,0))-INDEX($A$32:$J$44,MATCH($M30,$A$32:$A$44,0)-1,MATCH(W$1,$A$1:$J$1,0)))/12+W29)</f>
        <v>11522.83333333333</v>
      </c>
    </row>
    <row r="31" spans="1:24" x14ac:dyDescent="0.2">
      <c r="A31" s="231" t="s">
        <v>86</v>
      </c>
      <c r="B31" s="18"/>
      <c r="C31" s="18"/>
      <c r="D31" s="18"/>
      <c r="E31" s="18"/>
      <c r="F31" s="18"/>
      <c r="G31" s="18"/>
      <c r="H31" s="18"/>
      <c r="J31" s="213"/>
      <c r="L31" s="211">
        <f>'Purchased Power Model'!A32</f>
        <v>41426</v>
      </c>
      <c r="M31" s="212">
        <f>'Purchased Power Model'!B32</f>
        <v>2013</v>
      </c>
      <c r="N31" s="212">
        <f>'Purchased Power Model'!C32</f>
        <v>6</v>
      </c>
      <c r="O31" s="46" cm="1">
        <f t="array" ref="O31">IF($N31=12,INDEX($A$32:$J$44,MATCH($M31,$A$32:$A$44,0),MATCH(O$1,$A$1:$J$1,0)),(INDEX($A$32:$J$44,MATCH($M31,$A$32:$A$44,0),MATCH(O$1,$A$1:$J$1,0))-INDEX($A$32:$J$44,MATCH($M31,$A$32:$A$44,0)-1,MATCH(O$1,$A$1:$J$1,0)))/12+O30)</f>
        <v>10082.5</v>
      </c>
      <c r="P31" s="46" cm="1">
        <f t="array" ref="P31">IF($N31=12,INDEX($A$32:$J$44,MATCH($M31,$A$32:$A$44,0),MATCH(P$1,$A$1:$J$1,0)),(INDEX($A$32:$J$44,MATCH($M31,$A$32:$A$44,0),MATCH(P$1,$A$1:$J$1,0))-INDEX($A$32:$J$44,MATCH($M31,$A$32:$A$44,0)-1,MATCH(P$1,$A$1:$J$1,0)))/12+P30)</f>
        <v>1207.5</v>
      </c>
      <c r="Q31" s="46" cm="1">
        <f t="array" ref="Q31">IF($N31=12,INDEX($A$32:$J$44,MATCH($M31,$A$32:$A$44,0),MATCH(Q$1,$A$1:$J$1,0)),(INDEX($A$32:$J$44,MATCH($M31,$A$32:$A$44,0),MATCH(Q$1,$A$1:$J$1,0))-INDEX($A$32:$J$44,MATCH($M31,$A$32:$A$44,0)-1,MATCH(Q$1,$A$1:$J$1,0)))/12+Q30)</f>
        <v>89.000000000000028</v>
      </c>
      <c r="R31" s="46" cm="1">
        <f t="array" ref="R31">IF($N31=12,INDEX($A$32:$J$44,MATCH($M31,$A$32:$A$44,0),MATCH(R$1,$A$1:$J$1,0)),(INDEX($A$32:$J$44,MATCH($M31,$A$32:$A$44,0),MATCH(R$1,$A$1:$J$1,0))-INDEX($A$32:$J$44,MATCH($M31,$A$32:$A$44,0)-1,MATCH(R$1,$A$1:$J$1,0)))/12+R30)</f>
        <v>2807.5</v>
      </c>
      <c r="S31" s="46" cm="1">
        <f t="array" ref="S31">IF($N31=12,INDEX($A$32:$J$44,MATCH($M31,$A$32:$A$44,0),MATCH(S$1,$A$1:$J$1,0)),(INDEX($A$32:$J$44,MATCH($M31,$A$32:$A$44,0),MATCH(S$1,$A$1:$J$1,0))-INDEX($A$32:$J$44,MATCH($M31,$A$32:$A$44,0)-1,MATCH(S$1,$A$1:$J$1,0)))/12+S30)</f>
        <v>31</v>
      </c>
      <c r="T31" s="46" cm="1">
        <f t="array" ref="T31">IF($N31=12,INDEX($A$32:$J$44,MATCH($M31,$A$32:$A$44,0),MATCH(T$1,$A$1:$J$1,0)),(INDEX($A$32:$J$44,MATCH($M31,$A$32:$A$44,0),MATCH(T$1,$A$1:$J$1,0))-INDEX($A$32:$J$44,MATCH($M31,$A$32:$A$44,0)-1,MATCH(T$1,$A$1:$J$1,0)))/12+T30)</f>
        <v>7</v>
      </c>
      <c r="U31" s="46" cm="1">
        <f t="array" ref="U31">IF($N31=12,INDEX($A$32:$J$44,MATCH($M31,$A$32:$A$44,0),MATCH(U$1,$A$1:$J$1,0)),(INDEX($A$32:$J$44,MATCH($M31,$A$32:$A$44,0),MATCH(U$1,$A$1:$J$1,0))-INDEX($A$32:$J$44,MATCH($M31,$A$32:$A$44,0)-1,MATCH(U$1,$A$1:$J$1,0)))/12+U30)</f>
        <v>4</v>
      </c>
      <c r="V31" s="46" cm="1">
        <f t="array" ref="V31">IF($N31=12,INDEX($A$32:$J$44,MATCH($M31,$A$32:$A$44,0),MATCH(V$1,$A$1:$J$1,0)),(INDEX($A$32:$J$44,MATCH($M31,$A$32:$A$44,0),MATCH(V$1,$A$1:$J$1,0))-INDEX($A$32:$J$44,MATCH($M31,$A$32:$A$44,0)-1,MATCH(V$1,$A$1:$J$1,0)))/12+V30)</f>
        <v>14228.499999999996</v>
      </c>
      <c r="W31" s="46" cm="1">
        <f t="array" ref="W31">IF($N31=12,INDEX($A$32:$J$44,MATCH($M31,$A$32:$A$44,0),MATCH(W$1,$A$1:$J$1,0)),(INDEX($A$32:$J$44,MATCH($M31,$A$32:$A$44,0),MATCH(W$1,$A$1:$J$1,0))-INDEX($A$32:$J$44,MATCH($M31,$A$32:$A$44,0)-1,MATCH(W$1,$A$1:$J$1,0)))/12+W30)</f>
        <v>11527.999999999996</v>
      </c>
    </row>
    <row r="32" spans="1:24" x14ac:dyDescent="0.2">
      <c r="A32" s="4">
        <v>2010</v>
      </c>
      <c r="B32" s="80">
        <v>9899</v>
      </c>
      <c r="C32" s="80">
        <v>1187</v>
      </c>
      <c r="D32" s="80">
        <v>100</v>
      </c>
      <c r="E32" s="79">
        <v>2785</v>
      </c>
      <c r="F32" s="80">
        <v>33</v>
      </c>
      <c r="G32" s="80">
        <v>7</v>
      </c>
      <c r="H32" s="80">
        <v>4</v>
      </c>
      <c r="I32" s="20">
        <f t="shared" ref="I32:I42" si="22">SUM(B32:H32)</f>
        <v>14015</v>
      </c>
      <c r="J32" s="6">
        <f>B32+C32+D32+H32+145</f>
        <v>11335</v>
      </c>
      <c r="L32" s="211">
        <f>'Purchased Power Model'!A33</f>
        <v>41456</v>
      </c>
      <c r="M32" s="212">
        <f>'Purchased Power Model'!B33</f>
        <v>2013</v>
      </c>
      <c r="N32" s="212">
        <f>'Purchased Power Model'!C33</f>
        <v>7</v>
      </c>
      <c r="O32" s="46" cm="1">
        <f t="array" ref="O32">IF($N32=12,INDEX($A$32:$J$44,MATCH($M32,$A$32:$A$44,0),MATCH(O$1,$A$1:$J$1,0)),(INDEX($A$32:$J$44,MATCH($M32,$A$32:$A$44,0),MATCH(O$1,$A$1:$J$1,0))-INDEX($A$32:$J$44,MATCH($M32,$A$32:$A$44,0)-1,MATCH(O$1,$A$1:$J$1,0)))/12+O31)</f>
        <v>10087.75</v>
      </c>
      <c r="P32" s="46" cm="1">
        <f t="array" ref="P32">IF($N32=12,INDEX($A$32:$J$44,MATCH($M32,$A$32:$A$44,0),MATCH(P$1,$A$1:$J$1,0)),(INDEX($A$32:$J$44,MATCH($M32,$A$32:$A$44,0),MATCH(P$1,$A$1:$J$1,0))-INDEX($A$32:$J$44,MATCH($M32,$A$32:$A$44,0)-1,MATCH(P$1,$A$1:$J$1,0)))/12+P31)</f>
        <v>1207.25</v>
      </c>
      <c r="Q32" s="46" cm="1">
        <f t="array" ref="Q32">IF($N32=12,INDEX($A$32:$J$44,MATCH($M32,$A$32:$A$44,0),MATCH(Q$1,$A$1:$J$1,0)),(INDEX($A$32:$J$44,MATCH($M32,$A$32:$A$44,0),MATCH(Q$1,$A$1:$J$1,0))-INDEX($A$32:$J$44,MATCH($M32,$A$32:$A$44,0)-1,MATCH(Q$1,$A$1:$J$1,0)))/12+Q31)</f>
        <v>89.1666666666667</v>
      </c>
      <c r="R32" s="46" cm="1">
        <f t="array" ref="R32">IF($N32=12,INDEX($A$32:$J$44,MATCH($M32,$A$32:$A$44,0),MATCH(R$1,$A$1:$J$1,0)),(INDEX($A$32:$J$44,MATCH($M32,$A$32:$A$44,0),MATCH(R$1,$A$1:$J$1,0))-INDEX($A$32:$J$44,MATCH($M32,$A$32:$A$44,0)-1,MATCH(R$1,$A$1:$J$1,0)))/12+R31)</f>
        <v>2808.25</v>
      </c>
      <c r="S32" s="46" cm="1">
        <f t="array" ref="S32">IF($N32=12,INDEX($A$32:$J$44,MATCH($M32,$A$32:$A$44,0),MATCH(S$1,$A$1:$J$1,0)),(INDEX($A$32:$J$44,MATCH($M32,$A$32:$A$44,0),MATCH(S$1,$A$1:$J$1,0))-INDEX($A$32:$J$44,MATCH($M32,$A$32:$A$44,0)-1,MATCH(S$1,$A$1:$J$1,0)))/12+S31)</f>
        <v>31</v>
      </c>
      <c r="T32" s="46" cm="1">
        <f t="array" ref="T32">IF($N32=12,INDEX($A$32:$J$44,MATCH($M32,$A$32:$A$44,0),MATCH(T$1,$A$1:$J$1,0)),(INDEX($A$32:$J$44,MATCH($M32,$A$32:$A$44,0),MATCH(T$1,$A$1:$J$1,0))-INDEX($A$32:$J$44,MATCH($M32,$A$32:$A$44,0)-1,MATCH(T$1,$A$1:$J$1,0)))/12+T31)</f>
        <v>7</v>
      </c>
      <c r="U32" s="46" cm="1">
        <f t="array" ref="U32">IF($N32=12,INDEX($A$32:$J$44,MATCH($M32,$A$32:$A$44,0),MATCH(U$1,$A$1:$J$1,0)),(INDEX($A$32:$J$44,MATCH($M32,$A$32:$A$44,0),MATCH(U$1,$A$1:$J$1,0))-INDEX($A$32:$J$44,MATCH($M32,$A$32:$A$44,0)-1,MATCH(U$1,$A$1:$J$1,0)))/12+U31)</f>
        <v>4</v>
      </c>
      <c r="V32" s="46" cm="1">
        <f t="array" ref="V32">IF($N32=12,INDEX($A$32:$J$44,MATCH($M32,$A$32:$A$44,0),MATCH(V$1,$A$1:$J$1,0)),(INDEX($A$32:$J$44,MATCH($M32,$A$32:$A$44,0),MATCH(V$1,$A$1:$J$1,0))-INDEX($A$32:$J$44,MATCH($M32,$A$32:$A$44,0)-1,MATCH(V$1,$A$1:$J$1,0)))/12+V31)</f>
        <v>14234.416666666662</v>
      </c>
      <c r="W32" s="46" cm="1">
        <f t="array" ref="W32">IF($N32=12,INDEX($A$32:$J$44,MATCH($M32,$A$32:$A$44,0),MATCH(W$1,$A$1:$J$1,0)),(INDEX($A$32:$J$44,MATCH($M32,$A$32:$A$44,0),MATCH(W$1,$A$1:$J$1,0))-INDEX($A$32:$J$44,MATCH($M32,$A$32:$A$44,0)-1,MATCH(W$1,$A$1:$J$1,0)))/12+W31)</f>
        <v>11533.166666666662</v>
      </c>
    </row>
    <row r="33" spans="1:23" x14ac:dyDescent="0.2">
      <c r="A33" s="4">
        <v>2011</v>
      </c>
      <c r="B33" s="80">
        <v>9964</v>
      </c>
      <c r="C33" s="80">
        <v>1201</v>
      </c>
      <c r="D33" s="80">
        <v>90</v>
      </c>
      <c r="E33" s="79">
        <v>2794</v>
      </c>
      <c r="F33" s="80">
        <v>32</v>
      </c>
      <c r="G33" s="80">
        <v>7</v>
      </c>
      <c r="H33" s="80">
        <v>4</v>
      </c>
      <c r="I33" s="20">
        <f t="shared" si="22"/>
        <v>14092</v>
      </c>
      <c r="J33" s="6">
        <f t="shared" ref="J33:J42" si="23">B33+C33+D33+H33+145</f>
        <v>11404</v>
      </c>
      <c r="L33" s="211">
        <f>'Purchased Power Model'!A34</f>
        <v>41487</v>
      </c>
      <c r="M33" s="212">
        <f>'Purchased Power Model'!B34</f>
        <v>2013</v>
      </c>
      <c r="N33" s="212">
        <f>'Purchased Power Model'!C34</f>
        <v>8</v>
      </c>
      <c r="O33" s="46" cm="1">
        <f t="array" ref="O33">IF($N33=12,INDEX($A$32:$J$44,MATCH($M33,$A$32:$A$44,0),MATCH(O$1,$A$1:$J$1,0)),(INDEX($A$32:$J$44,MATCH($M33,$A$32:$A$44,0),MATCH(O$1,$A$1:$J$1,0))-INDEX($A$32:$J$44,MATCH($M33,$A$32:$A$44,0)-1,MATCH(O$1,$A$1:$J$1,0)))/12+O32)</f>
        <v>10093</v>
      </c>
      <c r="P33" s="46" cm="1">
        <f t="array" ref="P33">IF($N33=12,INDEX($A$32:$J$44,MATCH($M33,$A$32:$A$44,0),MATCH(P$1,$A$1:$J$1,0)),(INDEX($A$32:$J$44,MATCH($M33,$A$32:$A$44,0),MATCH(P$1,$A$1:$J$1,0))-INDEX($A$32:$J$44,MATCH($M33,$A$32:$A$44,0)-1,MATCH(P$1,$A$1:$J$1,0)))/12+P32)</f>
        <v>1207</v>
      </c>
      <c r="Q33" s="46" cm="1">
        <f t="array" ref="Q33">IF($N33=12,INDEX($A$32:$J$44,MATCH($M33,$A$32:$A$44,0),MATCH(Q$1,$A$1:$J$1,0)),(INDEX($A$32:$J$44,MATCH($M33,$A$32:$A$44,0),MATCH(Q$1,$A$1:$J$1,0))-INDEX($A$32:$J$44,MATCH($M33,$A$32:$A$44,0)-1,MATCH(Q$1,$A$1:$J$1,0)))/12+Q32)</f>
        <v>89.333333333333371</v>
      </c>
      <c r="R33" s="46" cm="1">
        <f t="array" ref="R33">IF($N33=12,INDEX($A$32:$J$44,MATCH($M33,$A$32:$A$44,0),MATCH(R$1,$A$1:$J$1,0)),(INDEX($A$32:$J$44,MATCH($M33,$A$32:$A$44,0),MATCH(R$1,$A$1:$J$1,0))-INDEX($A$32:$J$44,MATCH($M33,$A$32:$A$44,0)-1,MATCH(R$1,$A$1:$J$1,0)))/12+R32)</f>
        <v>2809</v>
      </c>
      <c r="S33" s="46" cm="1">
        <f t="array" ref="S33">IF($N33=12,INDEX($A$32:$J$44,MATCH($M33,$A$32:$A$44,0),MATCH(S$1,$A$1:$J$1,0)),(INDEX($A$32:$J$44,MATCH($M33,$A$32:$A$44,0),MATCH(S$1,$A$1:$J$1,0))-INDEX($A$32:$J$44,MATCH($M33,$A$32:$A$44,0)-1,MATCH(S$1,$A$1:$J$1,0)))/12+S32)</f>
        <v>31</v>
      </c>
      <c r="T33" s="46" cm="1">
        <f t="array" ref="T33">IF($N33=12,INDEX($A$32:$J$44,MATCH($M33,$A$32:$A$44,0),MATCH(T$1,$A$1:$J$1,0)),(INDEX($A$32:$J$44,MATCH($M33,$A$32:$A$44,0),MATCH(T$1,$A$1:$J$1,0))-INDEX($A$32:$J$44,MATCH($M33,$A$32:$A$44,0)-1,MATCH(T$1,$A$1:$J$1,0)))/12+T32)</f>
        <v>7</v>
      </c>
      <c r="U33" s="46" cm="1">
        <f t="array" ref="U33">IF($N33=12,INDEX($A$32:$J$44,MATCH($M33,$A$32:$A$44,0),MATCH(U$1,$A$1:$J$1,0)),(INDEX($A$32:$J$44,MATCH($M33,$A$32:$A$44,0),MATCH(U$1,$A$1:$J$1,0))-INDEX($A$32:$J$44,MATCH($M33,$A$32:$A$44,0)-1,MATCH(U$1,$A$1:$J$1,0)))/12+U32)</f>
        <v>4</v>
      </c>
      <c r="V33" s="46" cm="1">
        <f t="array" ref="V33">IF($N33=12,INDEX($A$32:$J$44,MATCH($M33,$A$32:$A$44,0),MATCH(V$1,$A$1:$J$1,0)),(INDEX($A$32:$J$44,MATCH($M33,$A$32:$A$44,0),MATCH(V$1,$A$1:$J$1,0))-INDEX($A$32:$J$44,MATCH($M33,$A$32:$A$44,0)-1,MATCH(V$1,$A$1:$J$1,0)))/12+V32)</f>
        <v>14240.333333333328</v>
      </c>
      <c r="W33" s="46" cm="1">
        <f t="array" ref="W33">IF($N33=12,INDEX($A$32:$J$44,MATCH($M33,$A$32:$A$44,0),MATCH(W$1,$A$1:$J$1,0)),(INDEX($A$32:$J$44,MATCH($M33,$A$32:$A$44,0),MATCH(W$1,$A$1:$J$1,0))-INDEX($A$32:$J$44,MATCH($M33,$A$32:$A$44,0)-1,MATCH(W$1,$A$1:$J$1,0)))/12+W32)</f>
        <v>11538.333333333328</v>
      </c>
    </row>
    <row r="34" spans="1:23" x14ac:dyDescent="0.2">
      <c r="A34" s="4">
        <v>2012</v>
      </c>
      <c r="B34" s="80">
        <v>10051</v>
      </c>
      <c r="C34" s="80">
        <v>1209</v>
      </c>
      <c r="D34" s="80">
        <v>88</v>
      </c>
      <c r="E34" s="79">
        <v>2803</v>
      </c>
      <c r="F34" s="80">
        <v>31</v>
      </c>
      <c r="G34" s="80">
        <v>7</v>
      </c>
      <c r="H34" s="80">
        <v>4</v>
      </c>
      <c r="I34" s="20">
        <f t="shared" si="22"/>
        <v>14193</v>
      </c>
      <c r="J34" s="6">
        <f t="shared" si="23"/>
        <v>11497</v>
      </c>
      <c r="L34" s="211">
        <f>'Purchased Power Model'!A35</f>
        <v>41518</v>
      </c>
      <c r="M34" s="212">
        <f>'Purchased Power Model'!B35</f>
        <v>2013</v>
      </c>
      <c r="N34" s="212">
        <f>'Purchased Power Model'!C35</f>
        <v>9</v>
      </c>
      <c r="O34" s="46" cm="1">
        <f t="array" ref="O34">IF($N34=12,INDEX($A$32:$J$44,MATCH($M34,$A$32:$A$44,0),MATCH(O$1,$A$1:$J$1,0)),(INDEX($A$32:$J$44,MATCH($M34,$A$32:$A$44,0),MATCH(O$1,$A$1:$J$1,0))-INDEX($A$32:$J$44,MATCH($M34,$A$32:$A$44,0)-1,MATCH(O$1,$A$1:$J$1,0)))/12+O33)</f>
        <v>10098.25</v>
      </c>
      <c r="P34" s="46" cm="1">
        <f t="array" ref="P34">IF($N34=12,INDEX($A$32:$J$44,MATCH($M34,$A$32:$A$44,0),MATCH(P$1,$A$1:$J$1,0)),(INDEX($A$32:$J$44,MATCH($M34,$A$32:$A$44,0),MATCH(P$1,$A$1:$J$1,0))-INDEX($A$32:$J$44,MATCH($M34,$A$32:$A$44,0)-1,MATCH(P$1,$A$1:$J$1,0)))/12+P33)</f>
        <v>1206.75</v>
      </c>
      <c r="Q34" s="46" cm="1">
        <f t="array" ref="Q34">IF($N34=12,INDEX($A$32:$J$44,MATCH($M34,$A$32:$A$44,0),MATCH(Q$1,$A$1:$J$1,0)),(INDEX($A$32:$J$44,MATCH($M34,$A$32:$A$44,0),MATCH(Q$1,$A$1:$J$1,0))-INDEX($A$32:$J$44,MATCH($M34,$A$32:$A$44,0)-1,MATCH(Q$1,$A$1:$J$1,0)))/12+Q33)</f>
        <v>89.500000000000043</v>
      </c>
      <c r="R34" s="46" cm="1">
        <f t="array" ref="R34">IF($N34=12,INDEX($A$32:$J$44,MATCH($M34,$A$32:$A$44,0),MATCH(R$1,$A$1:$J$1,0)),(INDEX($A$32:$J$44,MATCH($M34,$A$32:$A$44,0),MATCH(R$1,$A$1:$J$1,0))-INDEX($A$32:$J$44,MATCH($M34,$A$32:$A$44,0)-1,MATCH(R$1,$A$1:$J$1,0)))/12+R33)</f>
        <v>2809.75</v>
      </c>
      <c r="S34" s="46" cm="1">
        <f t="array" ref="S34">IF($N34=12,INDEX($A$32:$J$44,MATCH($M34,$A$32:$A$44,0),MATCH(S$1,$A$1:$J$1,0)),(INDEX($A$32:$J$44,MATCH($M34,$A$32:$A$44,0),MATCH(S$1,$A$1:$J$1,0))-INDEX($A$32:$J$44,MATCH($M34,$A$32:$A$44,0)-1,MATCH(S$1,$A$1:$J$1,0)))/12+S33)</f>
        <v>31</v>
      </c>
      <c r="T34" s="46" cm="1">
        <f t="array" ref="T34">IF($N34=12,INDEX($A$32:$J$44,MATCH($M34,$A$32:$A$44,0),MATCH(T$1,$A$1:$J$1,0)),(INDEX($A$32:$J$44,MATCH($M34,$A$32:$A$44,0),MATCH(T$1,$A$1:$J$1,0))-INDEX($A$32:$J$44,MATCH($M34,$A$32:$A$44,0)-1,MATCH(T$1,$A$1:$J$1,0)))/12+T33)</f>
        <v>7</v>
      </c>
      <c r="U34" s="46" cm="1">
        <f t="array" ref="U34">IF($N34=12,INDEX($A$32:$J$44,MATCH($M34,$A$32:$A$44,0),MATCH(U$1,$A$1:$J$1,0)),(INDEX($A$32:$J$44,MATCH($M34,$A$32:$A$44,0),MATCH(U$1,$A$1:$J$1,0))-INDEX($A$32:$J$44,MATCH($M34,$A$32:$A$44,0)-1,MATCH(U$1,$A$1:$J$1,0)))/12+U33)</f>
        <v>4</v>
      </c>
      <c r="V34" s="46" cm="1">
        <f t="array" ref="V34">IF($N34=12,INDEX($A$32:$J$44,MATCH($M34,$A$32:$A$44,0),MATCH(V$1,$A$1:$J$1,0)),(INDEX($A$32:$J$44,MATCH($M34,$A$32:$A$44,0),MATCH(V$1,$A$1:$J$1,0))-INDEX($A$32:$J$44,MATCH($M34,$A$32:$A$44,0)-1,MATCH(V$1,$A$1:$J$1,0)))/12+V33)</f>
        <v>14246.249999999995</v>
      </c>
      <c r="W34" s="46" cm="1">
        <f t="array" ref="W34">IF($N34=12,INDEX($A$32:$J$44,MATCH($M34,$A$32:$A$44,0),MATCH(W$1,$A$1:$J$1,0)),(INDEX($A$32:$J$44,MATCH($M34,$A$32:$A$44,0),MATCH(W$1,$A$1:$J$1,0))-INDEX($A$32:$J$44,MATCH($M34,$A$32:$A$44,0)-1,MATCH(W$1,$A$1:$J$1,0)))/12+W33)</f>
        <v>11543.499999999995</v>
      </c>
    </row>
    <row r="35" spans="1:23" x14ac:dyDescent="0.2">
      <c r="A35" s="4">
        <v>2013</v>
      </c>
      <c r="B35" s="80">
        <v>10114</v>
      </c>
      <c r="C35" s="80">
        <v>1206</v>
      </c>
      <c r="D35" s="80">
        <v>90</v>
      </c>
      <c r="E35" s="79">
        <v>2812</v>
      </c>
      <c r="F35" s="80">
        <v>31</v>
      </c>
      <c r="G35" s="80">
        <v>7</v>
      </c>
      <c r="H35" s="80">
        <v>4</v>
      </c>
      <c r="I35" s="20">
        <f t="shared" si="22"/>
        <v>14264</v>
      </c>
      <c r="J35" s="6">
        <f t="shared" si="23"/>
        <v>11559</v>
      </c>
      <c r="L35" s="211">
        <f>'Purchased Power Model'!A36</f>
        <v>41548</v>
      </c>
      <c r="M35" s="212">
        <f>'Purchased Power Model'!B36</f>
        <v>2013</v>
      </c>
      <c r="N35" s="212">
        <f>'Purchased Power Model'!C36</f>
        <v>10</v>
      </c>
      <c r="O35" s="46" cm="1">
        <f t="array" ref="O35">IF($N35=12,INDEX($A$32:$J$44,MATCH($M35,$A$32:$A$44,0),MATCH(O$1,$A$1:$J$1,0)),(INDEX($A$32:$J$44,MATCH($M35,$A$32:$A$44,0),MATCH(O$1,$A$1:$J$1,0))-INDEX($A$32:$J$44,MATCH($M35,$A$32:$A$44,0)-1,MATCH(O$1,$A$1:$J$1,0)))/12+O34)</f>
        <v>10103.5</v>
      </c>
      <c r="P35" s="46" cm="1">
        <f t="array" ref="P35">IF($N35=12,INDEX($A$32:$J$44,MATCH($M35,$A$32:$A$44,0),MATCH(P$1,$A$1:$J$1,0)),(INDEX($A$32:$J$44,MATCH($M35,$A$32:$A$44,0),MATCH(P$1,$A$1:$J$1,0))-INDEX($A$32:$J$44,MATCH($M35,$A$32:$A$44,0)-1,MATCH(P$1,$A$1:$J$1,0)))/12+P34)</f>
        <v>1206.5</v>
      </c>
      <c r="Q35" s="46" cm="1">
        <f t="array" ref="Q35">IF($N35=12,INDEX($A$32:$J$44,MATCH($M35,$A$32:$A$44,0),MATCH(Q$1,$A$1:$J$1,0)),(INDEX($A$32:$J$44,MATCH($M35,$A$32:$A$44,0),MATCH(Q$1,$A$1:$J$1,0))-INDEX($A$32:$J$44,MATCH($M35,$A$32:$A$44,0)-1,MATCH(Q$1,$A$1:$J$1,0)))/12+Q34)</f>
        <v>89.666666666666714</v>
      </c>
      <c r="R35" s="46" cm="1">
        <f t="array" ref="R35">IF($N35=12,INDEX($A$32:$J$44,MATCH($M35,$A$32:$A$44,0),MATCH(R$1,$A$1:$J$1,0)),(INDEX($A$32:$J$44,MATCH($M35,$A$32:$A$44,0),MATCH(R$1,$A$1:$J$1,0))-INDEX($A$32:$J$44,MATCH($M35,$A$32:$A$44,0)-1,MATCH(R$1,$A$1:$J$1,0)))/12+R34)</f>
        <v>2810.5</v>
      </c>
      <c r="S35" s="46" cm="1">
        <f t="array" ref="S35">IF($N35=12,INDEX($A$32:$J$44,MATCH($M35,$A$32:$A$44,0),MATCH(S$1,$A$1:$J$1,0)),(INDEX($A$32:$J$44,MATCH($M35,$A$32:$A$44,0),MATCH(S$1,$A$1:$J$1,0))-INDEX($A$32:$J$44,MATCH($M35,$A$32:$A$44,0)-1,MATCH(S$1,$A$1:$J$1,0)))/12+S34)</f>
        <v>31</v>
      </c>
      <c r="T35" s="46" cm="1">
        <f t="array" ref="T35">IF($N35=12,INDEX($A$32:$J$44,MATCH($M35,$A$32:$A$44,0),MATCH(T$1,$A$1:$J$1,0)),(INDEX($A$32:$J$44,MATCH($M35,$A$32:$A$44,0),MATCH(T$1,$A$1:$J$1,0))-INDEX($A$32:$J$44,MATCH($M35,$A$32:$A$44,0)-1,MATCH(T$1,$A$1:$J$1,0)))/12+T34)</f>
        <v>7</v>
      </c>
      <c r="U35" s="46" cm="1">
        <f t="array" ref="U35">IF($N35=12,INDEX($A$32:$J$44,MATCH($M35,$A$32:$A$44,0),MATCH(U$1,$A$1:$J$1,0)),(INDEX($A$32:$J$44,MATCH($M35,$A$32:$A$44,0),MATCH(U$1,$A$1:$J$1,0))-INDEX($A$32:$J$44,MATCH($M35,$A$32:$A$44,0)-1,MATCH(U$1,$A$1:$J$1,0)))/12+U34)</f>
        <v>4</v>
      </c>
      <c r="V35" s="46" cm="1">
        <f t="array" ref="V35">IF($N35=12,INDEX($A$32:$J$44,MATCH($M35,$A$32:$A$44,0),MATCH(V$1,$A$1:$J$1,0)),(INDEX($A$32:$J$44,MATCH($M35,$A$32:$A$44,0),MATCH(V$1,$A$1:$J$1,0))-INDEX($A$32:$J$44,MATCH($M35,$A$32:$A$44,0)-1,MATCH(V$1,$A$1:$J$1,0)))/12+V34)</f>
        <v>14252.166666666661</v>
      </c>
      <c r="W35" s="46" cm="1">
        <f t="array" ref="W35">IF($N35=12,INDEX($A$32:$J$44,MATCH($M35,$A$32:$A$44,0),MATCH(W$1,$A$1:$J$1,0)),(INDEX($A$32:$J$44,MATCH($M35,$A$32:$A$44,0),MATCH(W$1,$A$1:$J$1,0))-INDEX($A$32:$J$44,MATCH($M35,$A$32:$A$44,0)-1,MATCH(W$1,$A$1:$J$1,0)))/12+W34)</f>
        <v>11548.666666666661</v>
      </c>
    </row>
    <row r="36" spans="1:23" x14ac:dyDescent="0.2">
      <c r="A36" s="4">
        <v>2014</v>
      </c>
      <c r="B36" s="80">
        <v>10193</v>
      </c>
      <c r="C36" s="80">
        <v>1223</v>
      </c>
      <c r="D36" s="80">
        <v>90</v>
      </c>
      <c r="E36" s="79">
        <v>2821</v>
      </c>
      <c r="F36" s="80">
        <v>31</v>
      </c>
      <c r="G36" s="80">
        <v>7</v>
      </c>
      <c r="H36" s="80">
        <v>5</v>
      </c>
      <c r="I36" s="20">
        <f t="shared" si="22"/>
        <v>14370</v>
      </c>
      <c r="J36" s="6">
        <f t="shared" si="23"/>
        <v>11656</v>
      </c>
      <c r="L36" s="211">
        <f>'Purchased Power Model'!A37</f>
        <v>41579</v>
      </c>
      <c r="M36" s="212">
        <f>'Purchased Power Model'!B37</f>
        <v>2013</v>
      </c>
      <c r="N36" s="212">
        <f>'Purchased Power Model'!C37</f>
        <v>11</v>
      </c>
      <c r="O36" s="46" cm="1">
        <f t="array" ref="O36">IF($N36=12,INDEX($A$32:$J$44,MATCH($M36,$A$32:$A$44,0),MATCH(O$1,$A$1:$J$1,0)),(INDEX($A$32:$J$44,MATCH($M36,$A$32:$A$44,0),MATCH(O$1,$A$1:$J$1,0))-INDEX($A$32:$J$44,MATCH($M36,$A$32:$A$44,0)-1,MATCH(O$1,$A$1:$J$1,0)))/12+O35)</f>
        <v>10108.75</v>
      </c>
      <c r="P36" s="46" cm="1">
        <f t="array" ref="P36">IF($N36=12,INDEX($A$32:$J$44,MATCH($M36,$A$32:$A$44,0),MATCH(P$1,$A$1:$J$1,0)),(INDEX($A$32:$J$44,MATCH($M36,$A$32:$A$44,0),MATCH(P$1,$A$1:$J$1,0))-INDEX($A$32:$J$44,MATCH($M36,$A$32:$A$44,0)-1,MATCH(P$1,$A$1:$J$1,0)))/12+P35)</f>
        <v>1206.25</v>
      </c>
      <c r="Q36" s="46" cm="1">
        <f t="array" ref="Q36">IF($N36=12,INDEX($A$32:$J$44,MATCH($M36,$A$32:$A$44,0),MATCH(Q$1,$A$1:$J$1,0)),(INDEX($A$32:$J$44,MATCH($M36,$A$32:$A$44,0),MATCH(Q$1,$A$1:$J$1,0))-INDEX($A$32:$J$44,MATCH($M36,$A$32:$A$44,0)-1,MATCH(Q$1,$A$1:$J$1,0)))/12+Q35)</f>
        <v>89.833333333333385</v>
      </c>
      <c r="R36" s="46" cm="1">
        <f t="array" ref="R36">IF($N36=12,INDEX($A$32:$J$44,MATCH($M36,$A$32:$A$44,0),MATCH(R$1,$A$1:$J$1,0)),(INDEX($A$32:$J$44,MATCH($M36,$A$32:$A$44,0),MATCH(R$1,$A$1:$J$1,0))-INDEX($A$32:$J$44,MATCH($M36,$A$32:$A$44,0)-1,MATCH(R$1,$A$1:$J$1,0)))/12+R35)</f>
        <v>2811.25</v>
      </c>
      <c r="S36" s="46" cm="1">
        <f t="array" ref="S36">IF($N36=12,INDEX($A$32:$J$44,MATCH($M36,$A$32:$A$44,0),MATCH(S$1,$A$1:$J$1,0)),(INDEX($A$32:$J$44,MATCH($M36,$A$32:$A$44,0),MATCH(S$1,$A$1:$J$1,0))-INDEX($A$32:$J$44,MATCH($M36,$A$32:$A$44,0)-1,MATCH(S$1,$A$1:$J$1,0)))/12+S35)</f>
        <v>31</v>
      </c>
      <c r="T36" s="46" cm="1">
        <f t="array" ref="T36">IF($N36=12,INDEX($A$32:$J$44,MATCH($M36,$A$32:$A$44,0),MATCH(T$1,$A$1:$J$1,0)),(INDEX($A$32:$J$44,MATCH($M36,$A$32:$A$44,0),MATCH(T$1,$A$1:$J$1,0))-INDEX($A$32:$J$44,MATCH($M36,$A$32:$A$44,0)-1,MATCH(T$1,$A$1:$J$1,0)))/12+T35)</f>
        <v>7</v>
      </c>
      <c r="U36" s="46" cm="1">
        <f t="array" ref="U36">IF($N36=12,INDEX($A$32:$J$44,MATCH($M36,$A$32:$A$44,0),MATCH(U$1,$A$1:$J$1,0)),(INDEX($A$32:$J$44,MATCH($M36,$A$32:$A$44,0),MATCH(U$1,$A$1:$J$1,0))-INDEX($A$32:$J$44,MATCH($M36,$A$32:$A$44,0)-1,MATCH(U$1,$A$1:$J$1,0)))/12+U35)</f>
        <v>4</v>
      </c>
      <c r="V36" s="46" cm="1">
        <f t="array" ref="V36">IF($N36=12,INDEX($A$32:$J$44,MATCH($M36,$A$32:$A$44,0),MATCH(V$1,$A$1:$J$1,0)),(INDEX($A$32:$J$44,MATCH($M36,$A$32:$A$44,0),MATCH(V$1,$A$1:$J$1,0))-INDEX($A$32:$J$44,MATCH($M36,$A$32:$A$44,0)-1,MATCH(V$1,$A$1:$J$1,0)))/12+V35)</f>
        <v>14258.083333333327</v>
      </c>
      <c r="W36" s="46" cm="1">
        <f t="array" ref="W36">IF($N36=12,INDEX($A$32:$J$44,MATCH($M36,$A$32:$A$44,0),MATCH(W$1,$A$1:$J$1,0)),(INDEX($A$32:$J$44,MATCH($M36,$A$32:$A$44,0),MATCH(W$1,$A$1:$J$1,0))-INDEX($A$32:$J$44,MATCH($M36,$A$32:$A$44,0)-1,MATCH(W$1,$A$1:$J$1,0)))/12+W35)</f>
        <v>11553.833333333327</v>
      </c>
    </row>
    <row r="37" spans="1:23" x14ac:dyDescent="0.2">
      <c r="A37" s="4">
        <v>2015</v>
      </c>
      <c r="B37" s="80">
        <v>10242</v>
      </c>
      <c r="C37" s="80">
        <v>1219</v>
      </c>
      <c r="D37" s="80">
        <v>95</v>
      </c>
      <c r="E37" s="79">
        <v>2830</v>
      </c>
      <c r="F37" s="80">
        <v>31</v>
      </c>
      <c r="G37" s="80">
        <v>7</v>
      </c>
      <c r="H37" s="80">
        <v>5</v>
      </c>
      <c r="I37" s="20">
        <f t="shared" si="22"/>
        <v>14429</v>
      </c>
      <c r="J37" s="6">
        <f t="shared" si="23"/>
        <v>11706</v>
      </c>
      <c r="L37" s="211">
        <f>'Purchased Power Model'!A38</f>
        <v>41609</v>
      </c>
      <c r="M37" s="212">
        <f>'Purchased Power Model'!B38</f>
        <v>2013</v>
      </c>
      <c r="N37" s="212">
        <f>'Purchased Power Model'!C38</f>
        <v>12</v>
      </c>
      <c r="O37" s="46" cm="1">
        <f t="array" ref="O37">IF($N37=12,INDEX($A$32:$J$44,MATCH($M37,$A$32:$A$44,0),MATCH(O$1,$A$1:$J$1,0)),(INDEX($A$32:$J$44,MATCH($M37,$A$32:$A$44,0),MATCH(O$1,$A$1:$J$1,0))-INDEX($A$32:$J$44,MATCH($M37,$A$32:$A$44,0)-1,MATCH(O$1,$A$1:$J$1,0)))/12+O36)</f>
        <v>10114</v>
      </c>
      <c r="P37" s="46" cm="1">
        <f t="array" ref="P37">IF($N37=12,INDEX($A$32:$J$44,MATCH($M37,$A$32:$A$44,0),MATCH(P$1,$A$1:$J$1,0)),(INDEX($A$32:$J$44,MATCH($M37,$A$32:$A$44,0),MATCH(P$1,$A$1:$J$1,0))-INDEX($A$32:$J$44,MATCH($M37,$A$32:$A$44,0)-1,MATCH(P$1,$A$1:$J$1,0)))/12+P36)</f>
        <v>1206</v>
      </c>
      <c r="Q37" s="46" cm="1">
        <f t="array" ref="Q37">IF($N37=12,INDEX($A$32:$J$44,MATCH($M37,$A$32:$A$44,0),MATCH(Q$1,$A$1:$J$1,0)),(INDEX($A$32:$J$44,MATCH($M37,$A$32:$A$44,0),MATCH(Q$1,$A$1:$J$1,0))-INDEX($A$32:$J$44,MATCH($M37,$A$32:$A$44,0)-1,MATCH(Q$1,$A$1:$J$1,0)))/12+Q36)</f>
        <v>90</v>
      </c>
      <c r="R37" s="46" cm="1">
        <f t="array" ref="R37">IF($N37=12,INDEX($A$32:$J$44,MATCH($M37,$A$32:$A$44,0),MATCH(R$1,$A$1:$J$1,0)),(INDEX($A$32:$J$44,MATCH($M37,$A$32:$A$44,0),MATCH(R$1,$A$1:$J$1,0))-INDEX($A$32:$J$44,MATCH($M37,$A$32:$A$44,0)-1,MATCH(R$1,$A$1:$J$1,0)))/12+R36)</f>
        <v>2812</v>
      </c>
      <c r="S37" s="46" cm="1">
        <f t="array" ref="S37">IF($N37=12,INDEX($A$32:$J$44,MATCH($M37,$A$32:$A$44,0),MATCH(S$1,$A$1:$J$1,0)),(INDEX($A$32:$J$44,MATCH($M37,$A$32:$A$44,0),MATCH(S$1,$A$1:$J$1,0))-INDEX($A$32:$J$44,MATCH($M37,$A$32:$A$44,0)-1,MATCH(S$1,$A$1:$J$1,0)))/12+S36)</f>
        <v>31</v>
      </c>
      <c r="T37" s="46" cm="1">
        <f t="array" ref="T37">IF($N37=12,INDEX($A$32:$J$44,MATCH($M37,$A$32:$A$44,0),MATCH(T$1,$A$1:$J$1,0)),(INDEX($A$32:$J$44,MATCH($M37,$A$32:$A$44,0),MATCH(T$1,$A$1:$J$1,0))-INDEX($A$32:$J$44,MATCH($M37,$A$32:$A$44,0)-1,MATCH(T$1,$A$1:$J$1,0)))/12+T36)</f>
        <v>7</v>
      </c>
      <c r="U37" s="46" cm="1">
        <f t="array" ref="U37">IF($N37=12,INDEX($A$32:$J$44,MATCH($M37,$A$32:$A$44,0),MATCH(U$1,$A$1:$J$1,0)),(INDEX($A$32:$J$44,MATCH($M37,$A$32:$A$44,0),MATCH(U$1,$A$1:$J$1,0))-INDEX($A$32:$J$44,MATCH($M37,$A$32:$A$44,0)-1,MATCH(U$1,$A$1:$J$1,0)))/12+U36)</f>
        <v>4</v>
      </c>
      <c r="V37" s="46" cm="1">
        <f t="array" ref="V37">IF($N37=12,INDEX($A$32:$J$44,MATCH($M37,$A$32:$A$44,0),MATCH(V$1,$A$1:$J$1,0)),(INDEX($A$32:$J$44,MATCH($M37,$A$32:$A$44,0),MATCH(V$1,$A$1:$J$1,0))-INDEX($A$32:$J$44,MATCH($M37,$A$32:$A$44,0)-1,MATCH(V$1,$A$1:$J$1,0)))/12+V36)</f>
        <v>14264</v>
      </c>
      <c r="W37" s="46" cm="1">
        <f t="array" ref="W37">IF($N37=12,INDEX($A$32:$J$44,MATCH($M37,$A$32:$A$44,0),MATCH(W$1,$A$1:$J$1,0)),(INDEX($A$32:$J$44,MATCH($M37,$A$32:$A$44,0),MATCH(W$1,$A$1:$J$1,0))-INDEX($A$32:$J$44,MATCH($M37,$A$32:$A$44,0)-1,MATCH(W$1,$A$1:$J$1,0)))/12+W36)</f>
        <v>11559</v>
      </c>
    </row>
    <row r="38" spans="1:23" x14ac:dyDescent="0.2">
      <c r="A38" s="4">
        <v>2016</v>
      </c>
      <c r="B38" s="80">
        <v>10312</v>
      </c>
      <c r="C38" s="80">
        <v>1236</v>
      </c>
      <c r="D38" s="80">
        <v>93</v>
      </c>
      <c r="E38" s="79">
        <v>2932</v>
      </c>
      <c r="F38" s="80">
        <v>30</v>
      </c>
      <c r="G38" s="80">
        <v>15</v>
      </c>
      <c r="H38" s="80">
        <v>6</v>
      </c>
      <c r="I38" s="20">
        <f t="shared" si="22"/>
        <v>14624</v>
      </c>
      <c r="J38" s="6">
        <f t="shared" si="23"/>
        <v>11792</v>
      </c>
      <c r="L38" s="211">
        <f>'Purchased Power Model'!A39</f>
        <v>41640</v>
      </c>
      <c r="M38" s="212">
        <f>'Purchased Power Model'!B39</f>
        <v>2014</v>
      </c>
      <c r="N38" s="212">
        <f>'Purchased Power Model'!C39</f>
        <v>1</v>
      </c>
      <c r="O38" s="46" cm="1">
        <f t="array" ref="O38">IF($N38=12,INDEX($A$32:$J$44,MATCH($M38,$A$32:$A$44,0),MATCH(O$1,$A$1:$J$1,0)),(INDEX($A$32:$J$44,MATCH($M38,$A$32:$A$44,0),MATCH(O$1,$A$1:$J$1,0))-INDEX($A$32:$J$44,MATCH($M38,$A$32:$A$44,0)-1,MATCH(O$1,$A$1:$J$1,0)))/12+O37)</f>
        <v>10120.583333333334</v>
      </c>
      <c r="P38" s="46" cm="1">
        <f t="array" ref="P38">IF($N38=12,INDEX($A$32:$J$44,MATCH($M38,$A$32:$A$44,0),MATCH(P$1,$A$1:$J$1,0)),(INDEX($A$32:$J$44,MATCH($M38,$A$32:$A$44,0),MATCH(P$1,$A$1:$J$1,0))-INDEX($A$32:$J$44,MATCH($M38,$A$32:$A$44,0)-1,MATCH(P$1,$A$1:$J$1,0)))/12+P37)</f>
        <v>1207.4166666666667</v>
      </c>
      <c r="Q38" s="46" cm="1">
        <f t="array" ref="Q38">IF($N38=12,INDEX($A$32:$J$44,MATCH($M38,$A$32:$A$44,0),MATCH(Q$1,$A$1:$J$1,0)),(INDEX($A$32:$J$44,MATCH($M38,$A$32:$A$44,0),MATCH(Q$1,$A$1:$J$1,0))-INDEX($A$32:$J$44,MATCH($M38,$A$32:$A$44,0)-1,MATCH(Q$1,$A$1:$J$1,0)))/12+Q37)</f>
        <v>90</v>
      </c>
      <c r="R38" s="46" cm="1">
        <f t="array" ref="R38">IF($N38=12,INDEX($A$32:$J$44,MATCH($M38,$A$32:$A$44,0),MATCH(R$1,$A$1:$J$1,0)),(INDEX($A$32:$J$44,MATCH($M38,$A$32:$A$44,0),MATCH(R$1,$A$1:$J$1,0))-INDEX($A$32:$J$44,MATCH($M38,$A$32:$A$44,0)-1,MATCH(R$1,$A$1:$J$1,0)))/12+R37)</f>
        <v>2812.75</v>
      </c>
      <c r="S38" s="46" cm="1">
        <f t="array" ref="S38">IF($N38=12,INDEX($A$32:$J$44,MATCH($M38,$A$32:$A$44,0),MATCH(S$1,$A$1:$J$1,0)),(INDEX($A$32:$J$44,MATCH($M38,$A$32:$A$44,0),MATCH(S$1,$A$1:$J$1,0))-INDEX($A$32:$J$44,MATCH($M38,$A$32:$A$44,0)-1,MATCH(S$1,$A$1:$J$1,0)))/12+S37)</f>
        <v>31</v>
      </c>
      <c r="T38" s="46" cm="1">
        <f t="array" ref="T38">IF($N38=12,INDEX($A$32:$J$44,MATCH($M38,$A$32:$A$44,0),MATCH(T$1,$A$1:$J$1,0)),(INDEX($A$32:$J$44,MATCH($M38,$A$32:$A$44,0),MATCH(T$1,$A$1:$J$1,0))-INDEX($A$32:$J$44,MATCH($M38,$A$32:$A$44,0)-1,MATCH(T$1,$A$1:$J$1,0)))/12+T37)</f>
        <v>7</v>
      </c>
      <c r="U38" s="46" cm="1">
        <f t="array" ref="U38">IF($N38=12,INDEX($A$32:$J$44,MATCH($M38,$A$32:$A$44,0),MATCH(U$1,$A$1:$J$1,0)),(INDEX($A$32:$J$44,MATCH($M38,$A$32:$A$44,0),MATCH(U$1,$A$1:$J$1,0))-INDEX($A$32:$J$44,MATCH($M38,$A$32:$A$44,0)-1,MATCH(U$1,$A$1:$J$1,0)))/12+U37)</f>
        <v>4.083333333333333</v>
      </c>
      <c r="V38" s="46" cm="1">
        <f t="array" ref="V38">IF($N38=12,INDEX($A$32:$J$44,MATCH($M38,$A$32:$A$44,0),MATCH(V$1,$A$1:$J$1,0)),(INDEX($A$32:$J$44,MATCH($M38,$A$32:$A$44,0),MATCH(V$1,$A$1:$J$1,0))-INDEX($A$32:$J$44,MATCH($M38,$A$32:$A$44,0)-1,MATCH(V$1,$A$1:$J$1,0)))/12+V37)</f>
        <v>14272.833333333334</v>
      </c>
      <c r="W38" s="46" cm="1">
        <f t="array" ref="W38">IF($N38=12,INDEX($A$32:$J$44,MATCH($M38,$A$32:$A$44,0),MATCH(W$1,$A$1:$J$1,0)),(INDEX($A$32:$J$44,MATCH($M38,$A$32:$A$44,0),MATCH(W$1,$A$1:$J$1,0))-INDEX($A$32:$J$44,MATCH($M38,$A$32:$A$44,0)-1,MATCH(W$1,$A$1:$J$1,0)))/12+W37)</f>
        <v>11567.083333333334</v>
      </c>
    </row>
    <row r="39" spans="1:23" x14ac:dyDescent="0.2">
      <c r="A39" s="4">
        <v>2017</v>
      </c>
      <c r="B39" s="80">
        <v>10437</v>
      </c>
      <c r="C39" s="80">
        <v>1238</v>
      </c>
      <c r="D39" s="80">
        <v>97</v>
      </c>
      <c r="E39" s="79">
        <v>2932</v>
      </c>
      <c r="F39" s="80">
        <v>31</v>
      </c>
      <c r="G39" s="80">
        <v>17</v>
      </c>
      <c r="H39" s="80">
        <v>6</v>
      </c>
      <c r="I39" s="20">
        <f t="shared" si="22"/>
        <v>14758</v>
      </c>
      <c r="J39" s="6">
        <f t="shared" si="23"/>
        <v>11923</v>
      </c>
      <c r="L39" s="211">
        <f>'Purchased Power Model'!A40</f>
        <v>41671</v>
      </c>
      <c r="M39" s="212">
        <f>'Purchased Power Model'!B40</f>
        <v>2014</v>
      </c>
      <c r="N39" s="212">
        <f>'Purchased Power Model'!C40</f>
        <v>2</v>
      </c>
      <c r="O39" s="46" cm="1">
        <f t="array" ref="O39">IF($N39=12,INDEX($A$32:$J$44,MATCH($M39,$A$32:$A$44,0),MATCH(O$1,$A$1:$J$1,0)),(INDEX($A$32:$J$44,MATCH($M39,$A$32:$A$44,0),MATCH(O$1,$A$1:$J$1,0))-INDEX($A$32:$J$44,MATCH($M39,$A$32:$A$44,0)-1,MATCH(O$1,$A$1:$J$1,0)))/12+O38)</f>
        <v>10127.166666666668</v>
      </c>
      <c r="P39" s="46" cm="1">
        <f t="array" ref="P39">IF($N39=12,INDEX($A$32:$J$44,MATCH($M39,$A$32:$A$44,0),MATCH(P$1,$A$1:$J$1,0)),(INDEX($A$32:$J$44,MATCH($M39,$A$32:$A$44,0),MATCH(P$1,$A$1:$J$1,0))-INDEX($A$32:$J$44,MATCH($M39,$A$32:$A$44,0)-1,MATCH(P$1,$A$1:$J$1,0)))/12+P38)</f>
        <v>1208.8333333333335</v>
      </c>
      <c r="Q39" s="46" cm="1">
        <f t="array" ref="Q39">IF($N39=12,INDEX($A$32:$J$44,MATCH($M39,$A$32:$A$44,0),MATCH(Q$1,$A$1:$J$1,0)),(INDEX($A$32:$J$44,MATCH($M39,$A$32:$A$44,0),MATCH(Q$1,$A$1:$J$1,0))-INDEX($A$32:$J$44,MATCH($M39,$A$32:$A$44,0)-1,MATCH(Q$1,$A$1:$J$1,0)))/12+Q38)</f>
        <v>90</v>
      </c>
      <c r="R39" s="46" cm="1">
        <f t="array" ref="R39">IF($N39=12,INDEX($A$32:$J$44,MATCH($M39,$A$32:$A$44,0),MATCH(R$1,$A$1:$J$1,0)),(INDEX($A$32:$J$44,MATCH($M39,$A$32:$A$44,0),MATCH(R$1,$A$1:$J$1,0))-INDEX($A$32:$J$44,MATCH($M39,$A$32:$A$44,0)-1,MATCH(R$1,$A$1:$J$1,0)))/12+R38)</f>
        <v>2813.5</v>
      </c>
      <c r="S39" s="46" cm="1">
        <f t="array" ref="S39">IF($N39=12,INDEX($A$32:$J$44,MATCH($M39,$A$32:$A$44,0),MATCH(S$1,$A$1:$J$1,0)),(INDEX($A$32:$J$44,MATCH($M39,$A$32:$A$44,0),MATCH(S$1,$A$1:$J$1,0))-INDEX($A$32:$J$44,MATCH($M39,$A$32:$A$44,0)-1,MATCH(S$1,$A$1:$J$1,0)))/12+S38)</f>
        <v>31</v>
      </c>
      <c r="T39" s="46" cm="1">
        <f t="array" ref="T39">IF($N39=12,INDEX($A$32:$J$44,MATCH($M39,$A$32:$A$44,0),MATCH(T$1,$A$1:$J$1,0)),(INDEX($A$32:$J$44,MATCH($M39,$A$32:$A$44,0),MATCH(T$1,$A$1:$J$1,0))-INDEX($A$32:$J$44,MATCH($M39,$A$32:$A$44,0)-1,MATCH(T$1,$A$1:$J$1,0)))/12+T38)</f>
        <v>7</v>
      </c>
      <c r="U39" s="46" cm="1">
        <f t="array" ref="U39">IF($N39=12,INDEX($A$32:$J$44,MATCH($M39,$A$32:$A$44,0),MATCH(U$1,$A$1:$J$1,0)),(INDEX($A$32:$J$44,MATCH($M39,$A$32:$A$44,0),MATCH(U$1,$A$1:$J$1,0))-INDEX($A$32:$J$44,MATCH($M39,$A$32:$A$44,0)-1,MATCH(U$1,$A$1:$J$1,0)))/12+U38)</f>
        <v>4.1666666666666661</v>
      </c>
      <c r="V39" s="46" cm="1">
        <f t="array" ref="V39">IF($N39=12,INDEX($A$32:$J$44,MATCH($M39,$A$32:$A$44,0),MATCH(V$1,$A$1:$J$1,0)),(INDEX($A$32:$J$44,MATCH($M39,$A$32:$A$44,0),MATCH(V$1,$A$1:$J$1,0))-INDEX($A$32:$J$44,MATCH($M39,$A$32:$A$44,0)-1,MATCH(V$1,$A$1:$J$1,0)))/12+V38)</f>
        <v>14281.666666666668</v>
      </c>
      <c r="W39" s="46" cm="1">
        <f t="array" ref="W39">IF($N39=12,INDEX($A$32:$J$44,MATCH($M39,$A$32:$A$44,0),MATCH(W$1,$A$1:$J$1,0)),(INDEX($A$32:$J$44,MATCH($M39,$A$32:$A$44,0),MATCH(W$1,$A$1:$J$1,0))-INDEX($A$32:$J$44,MATCH($M39,$A$32:$A$44,0)-1,MATCH(W$1,$A$1:$J$1,0)))/12+W38)</f>
        <v>11575.166666666668</v>
      </c>
    </row>
    <row r="40" spans="1:23" x14ac:dyDescent="0.2">
      <c r="A40" s="4">
        <v>2018</v>
      </c>
      <c r="B40" s="80">
        <v>10572</v>
      </c>
      <c r="C40" s="80">
        <v>1238</v>
      </c>
      <c r="D40" s="80">
        <v>94</v>
      </c>
      <c r="E40" s="79">
        <v>2978</v>
      </c>
      <c r="F40" s="80">
        <v>32</v>
      </c>
      <c r="G40" s="80">
        <v>17</v>
      </c>
      <c r="H40" s="80">
        <v>6</v>
      </c>
      <c r="I40" s="20">
        <f t="shared" si="22"/>
        <v>14937</v>
      </c>
      <c r="J40" s="6">
        <f t="shared" si="23"/>
        <v>12055</v>
      </c>
      <c r="L40" s="211">
        <f>'Purchased Power Model'!A41</f>
        <v>41699</v>
      </c>
      <c r="M40" s="212">
        <f>'Purchased Power Model'!B41</f>
        <v>2014</v>
      </c>
      <c r="N40" s="212">
        <f>'Purchased Power Model'!C41</f>
        <v>3</v>
      </c>
      <c r="O40" s="46" cm="1">
        <f t="array" ref="O40">IF($N40=12,INDEX($A$32:$J$44,MATCH($M40,$A$32:$A$44,0),MATCH(O$1,$A$1:$J$1,0)),(INDEX($A$32:$J$44,MATCH($M40,$A$32:$A$44,0),MATCH(O$1,$A$1:$J$1,0))-INDEX($A$32:$J$44,MATCH($M40,$A$32:$A$44,0)-1,MATCH(O$1,$A$1:$J$1,0)))/12+O39)</f>
        <v>10133.750000000002</v>
      </c>
      <c r="P40" s="46" cm="1">
        <f t="array" ref="P40">IF($N40=12,INDEX($A$32:$J$44,MATCH($M40,$A$32:$A$44,0),MATCH(P$1,$A$1:$J$1,0)),(INDEX($A$32:$J$44,MATCH($M40,$A$32:$A$44,0),MATCH(P$1,$A$1:$J$1,0))-INDEX($A$32:$J$44,MATCH($M40,$A$32:$A$44,0)-1,MATCH(P$1,$A$1:$J$1,0)))/12+P39)</f>
        <v>1210.2500000000002</v>
      </c>
      <c r="Q40" s="46" cm="1">
        <f t="array" ref="Q40">IF($N40=12,INDEX($A$32:$J$44,MATCH($M40,$A$32:$A$44,0),MATCH(Q$1,$A$1:$J$1,0)),(INDEX($A$32:$J$44,MATCH($M40,$A$32:$A$44,0),MATCH(Q$1,$A$1:$J$1,0))-INDEX($A$32:$J$44,MATCH($M40,$A$32:$A$44,0)-1,MATCH(Q$1,$A$1:$J$1,0)))/12+Q39)</f>
        <v>90</v>
      </c>
      <c r="R40" s="46" cm="1">
        <f t="array" ref="R40">IF($N40=12,INDEX($A$32:$J$44,MATCH($M40,$A$32:$A$44,0),MATCH(R$1,$A$1:$J$1,0)),(INDEX($A$32:$J$44,MATCH($M40,$A$32:$A$44,0),MATCH(R$1,$A$1:$J$1,0))-INDEX($A$32:$J$44,MATCH($M40,$A$32:$A$44,0)-1,MATCH(R$1,$A$1:$J$1,0)))/12+R39)</f>
        <v>2814.25</v>
      </c>
      <c r="S40" s="46" cm="1">
        <f t="array" ref="S40">IF($N40=12,INDEX($A$32:$J$44,MATCH($M40,$A$32:$A$44,0),MATCH(S$1,$A$1:$J$1,0)),(INDEX($A$32:$J$44,MATCH($M40,$A$32:$A$44,0),MATCH(S$1,$A$1:$J$1,0))-INDEX($A$32:$J$44,MATCH($M40,$A$32:$A$44,0)-1,MATCH(S$1,$A$1:$J$1,0)))/12+S39)</f>
        <v>31</v>
      </c>
      <c r="T40" s="46" cm="1">
        <f t="array" ref="T40">IF($N40=12,INDEX($A$32:$J$44,MATCH($M40,$A$32:$A$44,0),MATCH(T$1,$A$1:$J$1,0)),(INDEX($A$32:$J$44,MATCH($M40,$A$32:$A$44,0),MATCH(T$1,$A$1:$J$1,0))-INDEX($A$32:$J$44,MATCH($M40,$A$32:$A$44,0)-1,MATCH(T$1,$A$1:$J$1,0)))/12+T39)</f>
        <v>7</v>
      </c>
      <c r="U40" s="46" cm="1">
        <f t="array" ref="U40">IF($N40=12,INDEX($A$32:$J$44,MATCH($M40,$A$32:$A$44,0),MATCH(U$1,$A$1:$J$1,0)),(INDEX($A$32:$J$44,MATCH($M40,$A$32:$A$44,0),MATCH(U$1,$A$1:$J$1,0))-INDEX($A$32:$J$44,MATCH($M40,$A$32:$A$44,0)-1,MATCH(U$1,$A$1:$J$1,0)))/12+U39)</f>
        <v>4.2499999999999991</v>
      </c>
      <c r="V40" s="46" cm="1">
        <f t="array" ref="V40">IF($N40=12,INDEX($A$32:$J$44,MATCH($M40,$A$32:$A$44,0),MATCH(V$1,$A$1:$J$1,0)),(INDEX($A$32:$J$44,MATCH($M40,$A$32:$A$44,0),MATCH(V$1,$A$1:$J$1,0))-INDEX($A$32:$J$44,MATCH($M40,$A$32:$A$44,0)-1,MATCH(V$1,$A$1:$J$1,0)))/12+V39)</f>
        <v>14290.500000000002</v>
      </c>
      <c r="W40" s="46" cm="1">
        <f t="array" ref="W40">IF($N40=12,INDEX($A$32:$J$44,MATCH($M40,$A$32:$A$44,0),MATCH(W$1,$A$1:$J$1,0)),(INDEX($A$32:$J$44,MATCH($M40,$A$32:$A$44,0),MATCH(W$1,$A$1:$J$1,0))-INDEX($A$32:$J$44,MATCH($M40,$A$32:$A$44,0)-1,MATCH(W$1,$A$1:$J$1,0)))/12+W39)</f>
        <v>11583.250000000002</v>
      </c>
    </row>
    <row r="41" spans="1:23" x14ac:dyDescent="0.2">
      <c r="A41" s="4">
        <v>2019</v>
      </c>
      <c r="B41" s="80">
        <v>10689</v>
      </c>
      <c r="C41" s="80">
        <v>1237</v>
      </c>
      <c r="D41" s="80">
        <v>96</v>
      </c>
      <c r="E41" s="79">
        <v>3006</v>
      </c>
      <c r="F41" s="80">
        <v>32</v>
      </c>
      <c r="G41" s="80">
        <v>17</v>
      </c>
      <c r="H41" s="80">
        <v>6</v>
      </c>
      <c r="I41" s="20">
        <f t="shared" si="22"/>
        <v>15083</v>
      </c>
      <c r="J41" s="6">
        <f t="shared" si="23"/>
        <v>12173</v>
      </c>
      <c r="L41" s="211">
        <f>'Purchased Power Model'!A42</f>
        <v>41730</v>
      </c>
      <c r="M41" s="212">
        <f>'Purchased Power Model'!B42</f>
        <v>2014</v>
      </c>
      <c r="N41" s="212">
        <f>'Purchased Power Model'!C42</f>
        <v>4</v>
      </c>
      <c r="O41" s="46" cm="1">
        <f t="array" ref="O41">IF($N41=12,INDEX($A$32:$J$44,MATCH($M41,$A$32:$A$44,0),MATCH(O$1,$A$1:$J$1,0)),(INDEX($A$32:$J$44,MATCH($M41,$A$32:$A$44,0),MATCH(O$1,$A$1:$J$1,0))-INDEX($A$32:$J$44,MATCH($M41,$A$32:$A$44,0)-1,MATCH(O$1,$A$1:$J$1,0)))/12+O40)</f>
        <v>10140.333333333336</v>
      </c>
      <c r="P41" s="46" cm="1">
        <f t="array" ref="P41">IF($N41=12,INDEX($A$32:$J$44,MATCH($M41,$A$32:$A$44,0),MATCH(P$1,$A$1:$J$1,0)),(INDEX($A$32:$J$44,MATCH($M41,$A$32:$A$44,0),MATCH(P$1,$A$1:$J$1,0))-INDEX($A$32:$J$44,MATCH($M41,$A$32:$A$44,0)-1,MATCH(P$1,$A$1:$J$1,0)))/12+P40)</f>
        <v>1211.666666666667</v>
      </c>
      <c r="Q41" s="46" cm="1">
        <f t="array" ref="Q41">IF($N41=12,INDEX($A$32:$J$44,MATCH($M41,$A$32:$A$44,0),MATCH(Q$1,$A$1:$J$1,0)),(INDEX($A$32:$J$44,MATCH($M41,$A$32:$A$44,0),MATCH(Q$1,$A$1:$J$1,0))-INDEX($A$32:$J$44,MATCH($M41,$A$32:$A$44,0)-1,MATCH(Q$1,$A$1:$J$1,0)))/12+Q40)</f>
        <v>90</v>
      </c>
      <c r="R41" s="46" cm="1">
        <f t="array" ref="R41">IF($N41=12,INDEX($A$32:$J$44,MATCH($M41,$A$32:$A$44,0),MATCH(R$1,$A$1:$J$1,0)),(INDEX($A$32:$J$44,MATCH($M41,$A$32:$A$44,0),MATCH(R$1,$A$1:$J$1,0))-INDEX($A$32:$J$44,MATCH($M41,$A$32:$A$44,0)-1,MATCH(R$1,$A$1:$J$1,0)))/12+R40)</f>
        <v>2815</v>
      </c>
      <c r="S41" s="46" cm="1">
        <f t="array" ref="S41">IF($N41=12,INDEX($A$32:$J$44,MATCH($M41,$A$32:$A$44,0),MATCH(S$1,$A$1:$J$1,0)),(INDEX($A$32:$J$44,MATCH($M41,$A$32:$A$44,0),MATCH(S$1,$A$1:$J$1,0))-INDEX($A$32:$J$44,MATCH($M41,$A$32:$A$44,0)-1,MATCH(S$1,$A$1:$J$1,0)))/12+S40)</f>
        <v>31</v>
      </c>
      <c r="T41" s="46" cm="1">
        <f t="array" ref="T41">IF($N41=12,INDEX($A$32:$J$44,MATCH($M41,$A$32:$A$44,0),MATCH(T$1,$A$1:$J$1,0)),(INDEX($A$32:$J$44,MATCH($M41,$A$32:$A$44,0),MATCH(T$1,$A$1:$J$1,0))-INDEX($A$32:$J$44,MATCH($M41,$A$32:$A$44,0)-1,MATCH(T$1,$A$1:$J$1,0)))/12+T40)</f>
        <v>7</v>
      </c>
      <c r="U41" s="46" cm="1">
        <f t="array" ref="U41">IF($N41=12,INDEX($A$32:$J$44,MATCH($M41,$A$32:$A$44,0),MATCH(U$1,$A$1:$J$1,0)),(INDEX($A$32:$J$44,MATCH($M41,$A$32:$A$44,0),MATCH(U$1,$A$1:$J$1,0))-INDEX($A$32:$J$44,MATCH($M41,$A$32:$A$44,0)-1,MATCH(U$1,$A$1:$J$1,0)))/12+U40)</f>
        <v>4.3333333333333321</v>
      </c>
      <c r="V41" s="46" cm="1">
        <f t="array" ref="V41">IF($N41=12,INDEX($A$32:$J$44,MATCH($M41,$A$32:$A$44,0),MATCH(V$1,$A$1:$J$1,0)),(INDEX($A$32:$J$44,MATCH($M41,$A$32:$A$44,0),MATCH(V$1,$A$1:$J$1,0))-INDEX($A$32:$J$44,MATCH($M41,$A$32:$A$44,0)-1,MATCH(V$1,$A$1:$J$1,0)))/12+V40)</f>
        <v>14299.333333333336</v>
      </c>
      <c r="W41" s="46" cm="1">
        <f t="array" ref="W41">IF($N41=12,INDEX($A$32:$J$44,MATCH($M41,$A$32:$A$44,0),MATCH(W$1,$A$1:$J$1,0)),(INDEX($A$32:$J$44,MATCH($M41,$A$32:$A$44,0),MATCH(W$1,$A$1:$J$1,0))-INDEX($A$32:$J$44,MATCH($M41,$A$32:$A$44,0)-1,MATCH(W$1,$A$1:$J$1,0)))/12+W40)</f>
        <v>11591.333333333336</v>
      </c>
    </row>
    <row r="42" spans="1:23" x14ac:dyDescent="0.2">
      <c r="A42" s="4">
        <v>2020</v>
      </c>
      <c r="B42" s="80">
        <v>10862</v>
      </c>
      <c r="C42" s="80">
        <v>1253</v>
      </c>
      <c r="D42" s="80">
        <v>98</v>
      </c>
      <c r="E42" s="79">
        <v>3080</v>
      </c>
      <c r="F42" s="80">
        <v>32</v>
      </c>
      <c r="G42" s="80">
        <v>17</v>
      </c>
      <c r="H42" s="80">
        <v>6</v>
      </c>
      <c r="I42" s="20">
        <f t="shared" si="22"/>
        <v>15348</v>
      </c>
      <c r="J42" s="6">
        <f t="shared" si="23"/>
        <v>12364</v>
      </c>
      <c r="L42" s="211">
        <f>'Purchased Power Model'!A43</f>
        <v>41760</v>
      </c>
      <c r="M42" s="212">
        <f>'Purchased Power Model'!B43</f>
        <v>2014</v>
      </c>
      <c r="N42" s="212">
        <f>'Purchased Power Model'!C43</f>
        <v>5</v>
      </c>
      <c r="O42" s="46" cm="1">
        <f t="array" ref="O42">IF($N42=12,INDEX($A$32:$J$44,MATCH($M42,$A$32:$A$44,0),MATCH(O$1,$A$1:$J$1,0)),(INDEX($A$32:$J$44,MATCH($M42,$A$32:$A$44,0),MATCH(O$1,$A$1:$J$1,0))-INDEX($A$32:$J$44,MATCH($M42,$A$32:$A$44,0)-1,MATCH(O$1,$A$1:$J$1,0)))/12+O41)</f>
        <v>10146.91666666667</v>
      </c>
      <c r="P42" s="46" cm="1">
        <f t="array" ref="P42">IF($N42=12,INDEX($A$32:$J$44,MATCH($M42,$A$32:$A$44,0),MATCH(P$1,$A$1:$J$1,0)),(INDEX($A$32:$J$44,MATCH($M42,$A$32:$A$44,0),MATCH(P$1,$A$1:$J$1,0))-INDEX($A$32:$J$44,MATCH($M42,$A$32:$A$44,0)-1,MATCH(P$1,$A$1:$J$1,0)))/12+P41)</f>
        <v>1213.0833333333337</v>
      </c>
      <c r="Q42" s="46" cm="1">
        <f t="array" ref="Q42">IF($N42=12,INDEX($A$32:$J$44,MATCH($M42,$A$32:$A$44,0),MATCH(Q$1,$A$1:$J$1,0)),(INDEX($A$32:$J$44,MATCH($M42,$A$32:$A$44,0),MATCH(Q$1,$A$1:$J$1,0))-INDEX($A$32:$J$44,MATCH($M42,$A$32:$A$44,0)-1,MATCH(Q$1,$A$1:$J$1,0)))/12+Q41)</f>
        <v>90</v>
      </c>
      <c r="R42" s="46" cm="1">
        <f t="array" ref="R42">IF($N42=12,INDEX($A$32:$J$44,MATCH($M42,$A$32:$A$44,0),MATCH(R$1,$A$1:$J$1,0)),(INDEX($A$32:$J$44,MATCH($M42,$A$32:$A$44,0),MATCH(R$1,$A$1:$J$1,0))-INDEX($A$32:$J$44,MATCH($M42,$A$32:$A$44,0)-1,MATCH(R$1,$A$1:$J$1,0)))/12+R41)</f>
        <v>2815.75</v>
      </c>
      <c r="S42" s="46" cm="1">
        <f t="array" ref="S42">IF($N42=12,INDEX($A$32:$J$44,MATCH($M42,$A$32:$A$44,0),MATCH(S$1,$A$1:$J$1,0)),(INDEX($A$32:$J$44,MATCH($M42,$A$32:$A$44,0),MATCH(S$1,$A$1:$J$1,0))-INDEX($A$32:$J$44,MATCH($M42,$A$32:$A$44,0)-1,MATCH(S$1,$A$1:$J$1,0)))/12+S41)</f>
        <v>31</v>
      </c>
      <c r="T42" s="46" cm="1">
        <f t="array" ref="T42">IF($N42=12,INDEX($A$32:$J$44,MATCH($M42,$A$32:$A$44,0),MATCH(T$1,$A$1:$J$1,0)),(INDEX($A$32:$J$44,MATCH($M42,$A$32:$A$44,0),MATCH(T$1,$A$1:$J$1,0))-INDEX($A$32:$J$44,MATCH($M42,$A$32:$A$44,0)-1,MATCH(T$1,$A$1:$J$1,0)))/12+T41)</f>
        <v>7</v>
      </c>
      <c r="U42" s="46" cm="1">
        <f t="array" ref="U42">IF($N42=12,INDEX($A$32:$J$44,MATCH($M42,$A$32:$A$44,0),MATCH(U$1,$A$1:$J$1,0)),(INDEX($A$32:$J$44,MATCH($M42,$A$32:$A$44,0),MATCH(U$1,$A$1:$J$1,0))-INDEX($A$32:$J$44,MATCH($M42,$A$32:$A$44,0)-1,MATCH(U$1,$A$1:$J$1,0)))/12+U41)</f>
        <v>4.4166666666666652</v>
      </c>
      <c r="V42" s="46" cm="1">
        <f t="array" ref="V42">IF($N42=12,INDEX($A$32:$J$44,MATCH($M42,$A$32:$A$44,0),MATCH(V$1,$A$1:$J$1,0)),(INDEX($A$32:$J$44,MATCH($M42,$A$32:$A$44,0),MATCH(V$1,$A$1:$J$1,0))-INDEX($A$32:$J$44,MATCH($M42,$A$32:$A$44,0)-1,MATCH(V$1,$A$1:$J$1,0)))/12+V41)</f>
        <v>14308.16666666667</v>
      </c>
      <c r="W42" s="46" cm="1">
        <f t="array" ref="W42">IF($N42=12,INDEX($A$32:$J$44,MATCH($M42,$A$32:$A$44,0),MATCH(W$1,$A$1:$J$1,0)),(INDEX($A$32:$J$44,MATCH($M42,$A$32:$A$44,0),MATCH(W$1,$A$1:$J$1,0))-INDEX($A$32:$J$44,MATCH($M42,$A$32:$A$44,0)-1,MATCH(W$1,$A$1:$J$1,0)))/12+W41)</f>
        <v>11599.41666666667</v>
      </c>
    </row>
    <row r="43" spans="1:23" x14ac:dyDescent="0.2">
      <c r="A43" s="223">
        <v>2021</v>
      </c>
      <c r="B43" s="224">
        <f>B42*B28</f>
        <v>10961.3678755821</v>
      </c>
      <c r="C43" s="224">
        <f>C42*C28</f>
        <v>1258.8432922247787</v>
      </c>
      <c r="D43" s="224">
        <f>D42*D28</f>
        <v>98.284486204837805</v>
      </c>
      <c r="E43" s="224">
        <f>E42*E30</f>
        <v>3110.2148246460679</v>
      </c>
      <c r="F43" s="224">
        <f>F42*F28</f>
        <v>32</v>
      </c>
      <c r="G43" s="224">
        <f>G42*G28</f>
        <v>17</v>
      </c>
      <c r="H43" s="224">
        <f>H42*H28</f>
        <v>6</v>
      </c>
      <c r="I43" s="224">
        <f>SUM(B43:H43)</f>
        <v>15483.710478657786</v>
      </c>
      <c r="J43" s="219">
        <f>B43+C43+D43+H43+145</f>
        <v>12469.495654011718</v>
      </c>
      <c r="L43" s="211">
        <f>'Purchased Power Model'!A44</f>
        <v>41791</v>
      </c>
      <c r="M43" s="212">
        <f>'Purchased Power Model'!B44</f>
        <v>2014</v>
      </c>
      <c r="N43" s="212">
        <f>'Purchased Power Model'!C44</f>
        <v>6</v>
      </c>
      <c r="O43" s="46" cm="1">
        <f t="array" ref="O43">IF($N43=12,INDEX($A$32:$J$44,MATCH($M43,$A$32:$A$44,0),MATCH(O$1,$A$1:$J$1,0)),(INDEX($A$32:$J$44,MATCH($M43,$A$32:$A$44,0),MATCH(O$1,$A$1:$J$1,0))-INDEX($A$32:$J$44,MATCH($M43,$A$32:$A$44,0)-1,MATCH(O$1,$A$1:$J$1,0)))/12+O42)</f>
        <v>10153.500000000004</v>
      </c>
      <c r="P43" s="46" cm="1">
        <f t="array" ref="P43">IF($N43=12,INDEX($A$32:$J$44,MATCH($M43,$A$32:$A$44,0),MATCH(P$1,$A$1:$J$1,0)),(INDEX($A$32:$J$44,MATCH($M43,$A$32:$A$44,0),MATCH(P$1,$A$1:$J$1,0))-INDEX($A$32:$J$44,MATCH($M43,$A$32:$A$44,0)-1,MATCH(P$1,$A$1:$J$1,0)))/12+P42)</f>
        <v>1214.5000000000005</v>
      </c>
      <c r="Q43" s="46" cm="1">
        <f t="array" ref="Q43">IF($N43=12,INDEX($A$32:$J$44,MATCH($M43,$A$32:$A$44,0),MATCH(Q$1,$A$1:$J$1,0)),(INDEX($A$32:$J$44,MATCH($M43,$A$32:$A$44,0),MATCH(Q$1,$A$1:$J$1,0))-INDEX($A$32:$J$44,MATCH($M43,$A$32:$A$44,0)-1,MATCH(Q$1,$A$1:$J$1,0)))/12+Q42)</f>
        <v>90</v>
      </c>
      <c r="R43" s="46" cm="1">
        <f t="array" ref="R43">IF($N43=12,INDEX($A$32:$J$44,MATCH($M43,$A$32:$A$44,0),MATCH(R$1,$A$1:$J$1,0)),(INDEX($A$32:$J$44,MATCH($M43,$A$32:$A$44,0),MATCH(R$1,$A$1:$J$1,0))-INDEX($A$32:$J$44,MATCH($M43,$A$32:$A$44,0)-1,MATCH(R$1,$A$1:$J$1,0)))/12+R42)</f>
        <v>2816.5</v>
      </c>
      <c r="S43" s="46" cm="1">
        <f t="array" ref="S43">IF($N43=12,INDEX($A$32:$J$44,MATCH($M43,$A$32:$A$44,0),MATCH(S$1,$A$1:$J$1,0)),(INDEX($A$32:$J$44,MATCH($M43,$A$32:$A$44,0),MATCH(S$1,$A$1:$J$1,0))-INDEX($A$32:$J$44,MATCH($M43,$A$32:$A$44,0)-1,MATCH(S$1,$A$1:$J$1,0)))/12+S42)</f>
        <v>31</v>
      </c>
      <c r="T43" s="46" cm="1">
        <f t="array" ref="T43">IF($N43=12,INDEX($A$32:$J$44,MATCH($M43,$A$32:$A$44,0),MATCH(T$1,$A$1:$J$1,0)),(INDEX($A$32:$J$44,MATCH($M43,$A$32:$A$44,0),MATCH(T$1,$A$1:$J$1,0))-INDEX($A$32:$J$44,MATCH($M43,$A$32:$A$44,0)-1,MATCH(T$1,$A$1:$J$1,0)))/12+T42)</f>
        <v>7</v>
      </c>
      <c r="U43" s="46" cm="1">
        <f t="array" ref="U43">IF($N43=12,INDEX($A$32:$J$44,MATCH($M43,$A$32:$A$44,0),MATCH(U$1,$A$1:$J$1,0)),(INDEX($A$32:$J$44,MATCH($M43,$A$32:$A$44,0),MATCH(U$1,$A$1:$J$1,0))-INDEX($A$32:$J$44,MATCH($M43,$A$32:$A$44,0)-1,MATCH(U$1,$A$1:$J$1,0)))/12+U42)</f>
        <v>4.4999999999999982</v>
      </c>
      <c r="V43" s="46" cm="1">
        <f t="array" ref="V43">IF($N43=12,INDEX($A$32:$J$44,MATCH($M43,$A$32:$A$44,0),MATCH(V$1,$A$1:$J$1,0)),(INDEX($A$32:$J$44,MATCH($M43,$A$32:$A$44,0),MATCH(V$1,$A$1:$J$1,0))-INDEX($A$32:$J$44,MATCH($M43,$A$32:$A$44,0)-1,MATCH(V$1,$A$1:$J$1,0)))/12+V42)</f>
        <v>14317.000000000004</v>
      </c>
      <c r="W43" s="46" cm="1">
        <f t="array" ref="W43">IF($N43=12,INDEX($A$32:$J$44,MATCH($M43,$A$32:$A$44,0),MATCH(W$1,$A$1:$J$1,0)),(INDEX($A$32:$J$44,MATCH($M43,$A$32:$A$44,0),MATCH(W$1,$A$1:$J$1,0))-INDEX($A$32:$J$44,MATCH($M43,$A$32:$A$44,0)-1,MATCH(W$1,$A$1:$J$1,0)))/12+W42)</f>
        <v>11607.500000000004</v>
      </c>
    </row>
    <row r="44" spans="1:23" x14ac:dyDescent="0.2">
      <c r="A44" s="223">
        <v>2022</v>
      </c>
      <c r="B44" s="224">
        <f>B43*B28</f>
        <v>11061.644789527089</v>
      </c>
      <c r="C44" s="224">
        <f>C43*C28</f>
        <v>1264.7138343011329</v>
      </c>
      <c r="D44" s="224">
        <f>D43*D28</f>
        <v>98.569798250499517</v>
      </c>
      <c r="E44" s="224">
        <f>E43*E30</f>
        <v>3140.7260569636919</v>
      </c>
      <c r="F44" s="224">
        <f>F43*F28</f>
        <v>32</v>
      </c>
      <c r="G44" s="224">
        <f>G43*G28</f>
        <v>17</v>
      </c>
      <c r="H44" s="224">
        <f>H43*H28</f>
        <v>6</v>
      </c>
      <c r="I44" s="224">
        <f>SUM(B44:H44)</f>
        <v>15620.654479042412</v>
      </c>
      <c r="J44" s="219">
        <f>B44+C44+D44+H44+145</f>
        <v>12575.928422078721</v>
      </c>
      <c r="L44" s="211">
        <f>'Purchased Power Model'!A45</f>
        <v>41821</v>
      </c>
      <c r="M44" s="212">
        <f>'Purchased Power Model'!B45</f>
        <v>2014</v>
      </c>
      <c r="N44" s="212">
        <f>'Purchased Power Model'!C45</f>
        <v>7</v>
      </c>
      <c r="O44" s="46" cm="1">
        <f t="array" ref="O44">IF($N44=12,INDEX($A$32:$J$44,MATCH($M44,$A$32:$A$44,0),MATCH(O$1,$A$1:$J$1,0)),(INDEX($A$32:$J$44,MATCH($M44,$A$32:$A$44,0),MATCH(O$1,$A$1:$J$1,0))-INDEX($A$32:$J$44,MATCH($M44,$A$32:$A$44,0)-1,MATCH(O$1,$A$1:$J$1,0)))/12+O43)</f>
        <v>10160.083333333338</v>
      </c>
      <c r="P44" s="46" cm="1">
        <f t="array" ref="P44">IF($N44=12,INDEX($A$32:$J$44,MATCH($M44,$A$32:$A$44,0),MATCH(P$1,$A$1:$J$1,0)),(INDEX($A$32:$J$44,MATCH($M44,$A$32:$A$44,0),MATCH(P$1,$A$1:$J$1,0))-INDEX($A$32:$J$44,MATCH($M44,$A$32:$A$44,0)-1,MATCH(P$1,$A$1:$J$1,0)))/12+P43)</f>
        <v>1215.9166666666672</v>
      </c>
      <c r="Q44" s="46" cm="1">
        <f t="array" ref="Q44">IF($N44=12,INDEX($A$32:$J$44,MATCH($M44,$A$32:$A$44,0),MATCH(Q$1,$A$1:$J$1,0)),(INDEX($A$32:$J$44,MATCH($M44,$A$32:$A$44,0),MATCH(Q$1,$A$1:$J$1,0))-INDEX($A$32:$J$44,MATCH($M44,$A$32:$A$44,0)-1,MATCH(Q$1,$A$1:$J$1,0)))/12+Q43)</f>
        <v>90</v>
      </c>
      <c r="R44" s="46" cm="1">
        <f t="array" ref="R44">IF($N44=12,INDEX($A$32:$J$44,MATCH($M44,$A$32:$A$44,0),MATCH(R$1,$A$1:$J$1,0)),(INDEX($A$32:$J$44,MATCH($M44,$A$32:$A$44,0),MATCH(R$1,$A$1:$J$1,0))-INDEX($A$32:$J$44,MATCH($M44,$A$32:$A$44,0)-1,MATCH(R$1,$A$1:$J$1,0)))/12+R43)</f>
        <v>2817.25</v>
      </c>
      <c r="S44" s="46" cm="1">
        <f t="array" ref="S44">IF($N44=12,INDEX($A$32:$J$44,MATCH($M44,$A$32:$A$44,0),MATCH(S$1,$A$1:$J$1,0)),(INDEX($A$32:$J$44,MATCH($M44,$A$32:$A$44,0),MATCH(S$1,$A$1:$J$1,0))-INDEX($A$32:$J$44,MATCH($M44,$A$32:$A$44,0)-1,MATCH(S$1,$A$1:$J$1,0)))/12+S43)</f>
        <v>31</v>
      </c>
      <c r="T44" s="46" cm="1">
        <f t="array" ref="T44">IF($N44=12,INDEX($A$32:$J$44,MATCH($M44,$A$32:$A$44,0),MATCH(T$1,$A$1:$J$1,0)),(INDEX($A$32:$J$44,MATCH($M44,$A$32:$A$44,0),MATCH(T$1,$A$1:$J$1,0))-INDEX($A$32:$J$44,MATCH($M44,$A$32:$A$44,0)-1,MATCH(T$1,$A$1:$J$1,0)))/12+T43)</f>
        <v>7</v>
      </c>
      <c r="U44" s="46" cm="1">
        <f t="array" ref="U44">IF($N44=12,INDEX($A$32:$J$44,MATCH($M44,$A$32:$A$44,0),MATCH(U$1,$A$1:$J$1,0)),(INDEX($A$32:$J$44,MATCH($M44,$A$32:$A$44,0),MATCH(U$1,$A$1:$J$1,0))-INDEX($A$32:$J$44,MATCH($M44,$A$32:$A$44,0)-1,MATCH(U$1,$A$1:$J$1,0)))/12+U43)</f>
        <v>4.5833333333333313</v>
      </c>
      <c r="V44" s="46" cm="1">
        <f t="array" ref="V44">IF($N44=12,INDEX($A$32:$J$44,MATCH($M44,$A$32:$A$44,0),MATCH(V$1,$A$1:$J$1,0)),(INDEX($A$32:$J$44,MATCH($M44,$A$32:$A$44,0),MATCH(V$1,$A$1:$J$1,0))-INDEX($A$32:$J$44,MATCH($M44,$A$32:$A$44,0)-1,MATCH(V$1,$A$1:$J$1,0)))/12+V43)</f>
        <v>14325.833333333338</v>
      </c>
      <c r="W44" s="46" cm="1">
        <f t="array" ref="W44">IF($N44=12,INDEX($A$32:$J$44,MATCH($M44,$A$32:$A$44,0),MATCH(W$1,$A$1:$J$1,0)),(INDEX($A$32:$J$44,MATCH($M44,$A$32:$A$44,0),MATCH(W$1,$A$1:$J$1,0))-INDEX($A$32:$J$44,MATCH($M44,$A$32:$A$44,0)-1,MATCH(W$1,$A$1:$J$1,0)))/12+W43)</f>
        <v>11615.583333333338</v>
      </c>
    </row>
    <row r="45" spans="1:23" x14ac:dyDescent="0.2">
      <c r="A45" s="4"/>
      <c r="I45" s="20"/>
      <c r="L45" s="211">
        <f>'Purchased Power Model'!A46</f>
        <v>41852</v>
      </c>
      <c r="M45" s="212">
        <f>'Purchased Power Model'!B46</f>
        <v>2014</v>
      </c>
      <c r="N45" s="212">
        <f>'Purchased Power Model'!C46</f>
        <v>8</v>
      </c>
      <c r="O45" s="46" cm="1">
        <f t="array" ref="O45">IF($N45=12,INDEX($A$32:$J$44,MATCH($M45,$A$32:$A$44,0),MATCH(O$1,$A$1:$J$1,0)),(INDEX($A$32:$J$44,MATCH($M45,$A$32:$A$44,0),MATCH(O$1,$A$1:$J$1,0))-INDEX($A$32:$J$44,MATCH($M45,$A$32:$A$44,0)-1,MATCH(O$1,$A$1:$J$1,0)))/12+O44)</f>
        <v>10166.666666666672</v>
      </c>
      <c r="P45" s="46" cm="1">
        <f t="array" ref="P45">IF($N45=12,INDEX($A$32:$J$44,MATCH($M45,$A$32:$A$44,0),MATCH(P$1,$A$1:$J$1,0)),(INDEX($A$32:$J$44,MATCH($M45,$A$32:$A$44,0),MATCH(P$1,$A$1:$J$1,0))-INDEX($A$32:$J$44,MATCH($M45,$A$32:$A$44,0)-1,MATCH(P$1,$A$1:$J$1,0)))/12+P44)</f>
        <v>1217.3333333333339</v>
      </c>
      <c r="Q45" s="46" cm="1">
        <f t="array" ref="Q45">IF($N45=12,INDEX($A$32:$J$44,MATCH($M45,$A$32:$A$44,0),MATCH(Q$1,$A$1:$J$1,0)),(INDEX($A$32:$J$44,MATCH($M45,$A$32:$A$44,0),MATCH(Q$1,$A$1:$J$1,0))-INDEX($A$32:$J$44,MATCH($M45,$A$32:$A$44,0)-1,MATCH(Q$1,$A$1:$J$1,0)))/12+Q44)</f>
        <v>90</v>
      </c>
      <c r="R45" s="46" cm="1">
        <f t="array" ref="R45">IF($N45=12,INDEX($A$32:$J$44,MATCH($M45,$A$32:$A$44,0),MATCH(R$1,$A$1:$J$1,0)),(INDEX($A$32:$J$44,MATCH($M45,$A$32:$A$44,0),MATCH(R$1,$A$1:$J$1,0))-INDEX($A$32:$J$44,MATCH($M45,$A$32:$A$44,0)-1,MATCH(R$1,$A$1:$J$1,0)))/12+R44)</f>
        <v>2818</v>
      </c>
      <c r="S45" s="46" cm="1">
        <f t="array" ref="S45">IF($N45=12,INDEX($A$32:$J$44,MATCH($M45,$A$32:$A$44,0),MATCH(S$1,$A$1:$J$1,0)),(INDEX($A$32:$J$44,MATCH($M45,$A$32:$A$44,0),MATCH(S$1,$A$1:$J$1,0))-INDEX($A$32:$J$44,MATCH($M45,$A$32:$A$44,0)-1,MATCH(S$1,$A$1:$J$1,0)))/12+S44)</f>
        <v>31</v>
      </c>
      <c r="T45" s="46" cm="1">
        <f t="array" ref="T45">IF($N45=12,INDEX($A$32:$J$44,MATCH($M45,$A$32:$A$44,0),MATCH(T$1,$A$1:$J$1,0)),(INDEX($A$32:$J$44,MATCH($M45,$A$32:$A$44,0),MATCH(T$1,$A$1:$J$1,0))-INDEX($A$32:$J$44,MATCH($M45,$A$32:$A$44,0)-1,MATCH(T$1,$A$1:$J$1,0)))/12+T44)</f>
        <v>7</v>
      </c>
      <c r="U45" s="46" cm="1">
        <f t="array" ref="U45">IF($N45=12,INDEX($A$32:$J$44,MATCH($M45,$A$32:$A$44,0),MATCH(U$1,$A$1:$J$1,0)),(INDEX($A$32:$J$44,MATCH($M45,$A$32:$A$44,0),MATCH(U$1,$A$1:$J$1,0))-INDEX($A$32:$J$44,MATCH($M45,$A$32:$A$44,0)-1,MATCH(U$1,$A$1:$J$1,0)))/12+U44)</f>
        <v>4.6666666666666643</v>
      </c>
      <c r="V45" s="46" cm="1">
        <f t="array" ref="V45">IF($N45=12,INDEX($A$32:$J$44,MATCH($M45,$A$32:$A$44,0),MATCH(V$1,$A$1:$J$1,0)),(INDEX($A$32:$J$44,MATCH($M45,$A$32:$A$44,0),MATCH(V$1,$A$1:$J$1,0))-INDEX($A$32:$J$44,MATCH($M45,$A$32:$A$44,0)-1,MATCH(V$1,$A$1:$J$1,0)))/12+V44)</f>
        <v>14334.666666666672</v>
      </c>
      <c r="W45" s="46" cm="1">
        <f t="array" ref="W45">IF($N45=12,INDEX($A$32:$J$44,MATCH($M45,$A$32:$A$44,0),MATCH(W$1,$A$1:$J$1,0)),(INDEX($A$32:$J$44,MATCH($M45,$A$32:$A$44,0),MATCH(W$1,$A$1:$J$1,0))-INDEX($A$32:$J$44,MATCH($M45,$A$32:$A$44,0)-1,MATCH(W$1,$A$1:$J$1,0)))/12+W44)</f>
        <v>11623.666666666672</v>
      </c>
    </row>
    <row r="46" spans="1:23" x14ac:dyDescent="0.2">
      <c r="B46" s="18"/>
      <c r="C46" s="18"/>
      <c r="D46" s="18"/>
      <c r="E46" s="18"/>
      <c r="F46" s="18"/>
      <c r="G46" s="18"/>
      <c r="H46" s="18"/>
      <c r="L46" s="211">
        <f>'Purchased Power Model'!A47</f>
        <v>41883</v>
      </c>
      <c r="M46" s="212">
        <f>'Purchased Power Model'!B47</f>
        <v>2014</v>
      </c>
      <c r="N46" s="212">
        <f>'Purchased Power Model'!C47</f>
        <v>9</v>
      </c>
      <c r="O46" s="46" cm="1">
        <f t="array" ref="O46">IF($N46=12,INDEX($A$32:$J$44,MATCH($M46,$A$32:$A$44,0),MATCH(O$1,$A$1:$J$1,0)),(INDEX($A$32:$J$44,MATCH($M46,$A$32:$A$44,0),MATCH(O$1,$A$1:$J$1,0))-INDEX($A$32:$J$44,MATCH($M46,$A$32:$A$44,0)-1,MATCH(O$1,$A$1:$J$1,0)))/12+O45)</f>
        <v>10173.250000000005</v>
      </c>
      <c r="P46" s="46" cm="1">
        <f t="array" ref="P46">IF($N46=12,INDEX($A$32:$J$44,MATCH($M46,$A$32:$A$44,0),MATCH(P$1,$A$1:$J$1,0)),(INDEX($A$32:$J$44,MATCH($M46,$A$32:$A$44,0),MATCH(P$1,$A$1:$J$1,0))-INDEX($A$32:$J$44,MATCH($M46,$A$32:$A$44,0)-1,MATCH(P$1,$A$1:$J$1,0)))/12+P45)</f>
        <v>1218.7500000000007</v>
      </c>
      <c r="Q46" s="46" cm="1">
        <f t="array" ref="Q46">IF($N46=12,INDEX($A$32:$J$44,MATCH($M46,$A$32:$A$44,0),MATCH(Q$1,$A$1:$J$1,0)),(INDEX($A$32:$J$44,MATCH($M46,$A$32:$A$44,0),MATCH(Q$1,$A$1:$J$1,0))-INDEX($A$32:$J$44,MATCH($M46,$A$32:$A$44,0)-1,MATCH(Q$1,$A$1:$J$1,0)))/12+Q45)</f>
        <v>90</v>
      </c>
      <c r="R46" s="46" cm="1">
        <f t="array" ref="R46">IF($N46=12,INDEX($A$32:$J$44,MATCH($M46,$A$32:$A$44,0),MATCH(R$1,$A$1:$J$1,0)),(INDEX($A$32:$J$44,MATCH($M46,$A$32:$A$44,0),MATCH(R$1,$A$1:$J$1,0))-INDEX($A$32:$J$44,MATCH($M46,$A$32:$A$44,0)-1,MATCH(R$1,$A$1:$J$1,0)))/12+R45)</f>
        <v>2818.75</v>
      </c>
      <c r="S46" s="46" cm="1">
        <f t="array" ref="S46">IF($N46=12,INDEX($A$32:$J$44,MATCH($M46,$A$32:$A$44,0),MATCH(S$1,$A$1:$J$1,0)),(INDEX($A$32:$J$44,MATCH($M46,$A$32:$A$44,0),MATCH(S$1,$A$1:$J$1,0))-INDEX($A$32:$J$44,MATCH($M46,$A$32:$A$44,0)-1,MATCH(S$1,$A$1:$J$1,0)))/12+S45)</f>
        <v>31</v>
      </c>
      <c r="T46" s="46" cm="1">
        <f t="array" ref="T46">IF($N46=12,INDEX($A$32:$J$44,MATCH($M46,$A$32:$A$44,0),MATCH(T$1,$A$1:$J$1,0)),(INDEX($A$32:$J$44,MATCH($M46,$A$32:$A$44,0),MATCH(T$1,$A$1:$J$1,0))-INDEX($A$32:$J$44,MATCH($M46,$A$32:$A$44,0)-1,MATCH(T$1,$A$1:$J$1,0)))/12+T45)</f>
        <v>7</v>
      </c>
      <c r="U46" s="46" cm="1">
        <f t="array" ref="U46">IF($N46=12,INDEX($A$32:$J$44,MATCH($M46,$A$32:$A$44,0),MATCH(U$1,$A$1:$J$1,0)),(INDEX($A$32:$J$44,MATCH($M46,$A$32:$A$44,0),MATCH(U$1,$A$1:$J$1,0))-INDEX($A$32:$J$44,MATCH($M46,$A$32:$A$44,0)-1,MATCH(U$1,$A$1:$J$1,0)))/12+U45)</f>
        <v>4.7499999999999973</v>
      </c>
      <c r="V46" s="46" cm="1">
        <f t="array" ref="V46">IF($N46=12,INDEX($A$32:$J$44,MATCH($M46,$A$32:$A$44,0),MATCH(V$1,$A$1:$J$1,0)),(INDEX($A$32:$J$44,MATCH($M46,$A$32:$A$44,0),MATCH(V$1,$A$1:$J$1,0))-INDEX($A$32:$J$44,MATCH($M46,$A$32:$A$44,0)-1,MATCH(V$1,$A$1:$J$1,0)))/12+V45)</f>
        <v>14343.500000000005</v>
      </c>
      <c r="W46" s="46" cm="1">
        <f t="array" ref="W46">IF($N46=12,INDEX($A$32:$J$44,MATCH($M46,$A$32:$A$44,0),MATCH(W$1,$A$1:$J$1,0)),(INDEX($A$32:$J$44,MATCH($M46,$A$32:$A$44,0),MATCH(W$1,$A$1:$J$1,0))-INDEX($A$32:$J$44,MATCH($M46,$A$32:$A$44,0)-1,MATCH(W$1,$A$1:$J$1,0)))/12+W45)</f>
        <v>11631.750000000005</v>
      </c>
    </row>
    <row r="47" spans="1:23" x14ac:dyDescent="0.2">
      <c r="B47" s="18"/>
      <c r="C47" s="18"/>
      <c r="D47" s="18"/>
      <c r="E47" s="18"/>
      <c r="G47" s="18"/>
      <c r="H47" s="18"/>
      <c r="L47" s="211">
        <f>'Purchased Power Model'!A48</f>
        <v>41913</v>
      </c>
      <c r="M47" s="212">
        <f>'Purchased Power Model'!B48</f>
        <v>2014</v>
      </c>
      <c r="N47" s="212">
        <f>'Purchased Power Model'!C48</f>
        <v>10</v>
      </c>
      <c r="O47" s="46" cm="1">
        <f t="array" ref="O47">IF($N47=12,INDEX($A$32:$J$44,MATCH($M47,$A$32:$A$44,0),MATCH(O$1,$A$1:$J$1,0)),(INDEX($A$32:$J$44,MATCH($M47,$A$32:$A$44,0),MATCH(O$1,$A$1:$J$1,0))-INDEX($A$32:$J$44,MATCH($M47,$A$32:$A$44,0)-1,MATCH(O$1,$A$1:$J$1,0)))/12+O46)</f>
        <v>10179.833333333339</v>
      </c>
      <c r="P47" s="46" cm="1">
        <f t="array" ref="P47">IF($N47=12,INDEX($A$32:$J$44,MATCH($M47,$A$32:$A$44,0),MATCH(P$1,$A$1:$J$1,0)),(INDEX($A$32:$J$44,MATCH($M47,$A$32:$A$44,0),MATCH(P$1,$A$1:$J$1,0))-INDEX($A$32:$J$44,MATCH($M47,$A$32:$A$44,0)-1,MATCH(P$1,$A$1:$J$1,0)))/12+P46)</f>
        <v>1220.1666666666674</v>
      </c>
      <c r="Q47" s="46" cm="1">
        <f t="array" ref="Q47">IF($N47=12,INDEX($A$32:$J$44,MATCH($M47,$A$32:$A$44,0),MATCH(Q$1,$A$1:$J$1,0)),(INDEX($A$32:$J$44,MATCH($M47,$A$32:$A$44,0),MATCH(Q$1,$A$1:$J$1,0))-INDEX($A$32:$J$44,MATCH($M47,$A$32:$A$44,0)-1,MATCH(Q$1,$A$1:$J$1,0)))/12+Q46)</f>
        <v>90</v>
      </c>
      <c r="R47" s="46" cm="1">
        <f t="array" ref="R47">IF($N47=12,INDEX($A$32:$J$44,MATCH($M47,$A$32:$A$44,0),MATCH(R$1,$A$1:$J$1,0)),(INDEX($A$32:$J$44,MATCH($M47,$A$32:$A$44,0),MATCH(R$1,$A$1:$J$1,0))-INDEX($A$32:$J$44,MATCH($M47,$A$32:$A$44,0)-1,MATCH(R$1,$A$1:$J$1,0)))/12+R46)</f>
        <v>2819.5</v>
      </c>
      <c r="S47" s="46" cm="1">
        <f t="array" ref="S47">IF($N47=12,INDEX($A$32:$J$44,MATCH($M47,$A$32:$A$44,0),MATCH(S$1,$A$1:$J$1,0)),(INDEX($A$32:$J$44,MATCH($M47,$A$32:$A$44,0),MATCH(S$1,$A$1:$J$1,0))-INDEX($A$32:$J$44,MATCH($M47,$A$32:$A$44,0)-1,MATCH(S$1,$A$1:$J$1,0)))/12+S46)</f>
        <v>31</v>
      </c>
      <c r="T47" s="46" cm="1">
        <f t="array" ref="T47">IF($N47=12,INDEX($A$32:$J$44,MATCH($M47,$A$32:$A$44,0),MATCH(T$1,$A$1:$J$1,0)),(INDEX($A$32:$J$44,MATCH($M47,$A$32:$A$44,0),MATCH(T$1,$A$1:$J$1,0))-INDEX($A$32:$J$44,MATCH($M47,$A$32:$A$44,0)-1,MATCH(T$1,$A$1:$J$1,0)))/12+T46)</f>
        <v>7</v>
      </c>
      <c r="U47" s="46" cm="1">
        <f t="array" ref="U47">IF($N47=12,INDEX($A$32:$J$44,MATCH($M47,$A$32:$A$44,0),MATCH(U$1,$A$1:$J$1,0)),(INDEX($A$32:$J$44,MATCH($M47,$A$32:$A$44,0),MATCH(U$1,$A$1:$J$1,0))-INDEX($A$32:$J$44,MATCH($M47,$A$32:$A$44,0)-1,MATCH(U$1,$A$1:$J$1,0)))/12+U46)</f>
        <v>4.8333333333333304</v>
      </c>
      <c r="V47" s="46" cm="1">
        <f t="array" ref="V47">IF($N47=12,INDEX($A$32:$J$44,MATCH($M47,$A$32:$A$44,0),MATCH(V$1,$A$1:$J$1,0)),(INDEX($A$32:$J$44,MATCH($M47,$A$32:$A$44,0),MATCH(V$1,$A$1:$J$1,0))-INDEX($A$32:$J$44,MATCH($M47,$A$32:$A$44,0)-1,MATCH(V$1,$A$1:$J$1,0)))/12+V46)</f>
        <v>14352.333333333339</v>
      </c>
      <c r="W47" s="46" cm="1">
        <f t="array" ref="W47">IF($N47=12,INDEX($A$32:$J$44,MATCH($M47,$A$32:$A$44,0),MATCH(W$1,$A$1:$J$1,0)),(INDEX($A$32:$J$44,MATCH($M47,$A$32:$A$44,0),MATCH(W$1,$A$1:$J$1,0))-INDEX($A$32:$J$44,MATCH($M47,$A$32:$A$44,0)-1,MATCH(W$1,$A$1:$J$1,0)))/12+W46)</f>
        <v>11639.833333333339</v>
      </c>
    </row>
    <row r="48" spans="1:23" x14ac:dyDescent="0.2">
      <c r="B48" s="18"/>
      <c r="C48" s="18"/>
      <c r="D48" s="18"/>
      <c r="E48" s="18"/>
      <c r="F48" s="18"/>
      <c r="G48" s="18"/>
      <c r="H48" s="18"/>
      <c r="L48" s="211">
        <f>'Purchased Power Model'!A49</f>
        <v>41944</v>
      </c>
      <c r="M48" s="212">
        <f>'Purchased Power Model'!B49</f>
        <v>2014</v>
      </c>
      <c r="N48" s="212">
        <f>'Purchased Power Model'!C49</f>
        <v>11</v>
      </c>
      <c r="O48" s="46" cm="1">
        <f t="array" ref="O48">IF($N48=12,INDEX($A$32:$J$44,MATCH($M48,$A$32:$A$44,0),MATCH(O$1,$A$1:$J$1,0)),(INDEX($A$32:$J$44,MATCH($M48,$A$32:$A$44,0),MATCH(O$1,$A$1:$J$1,0))-INDEX($A$32:$J$44,MATCH($M48,$A$32:$A$44,0)-1,MATCH(O$1,$A$1:$J$1,0)))/12+O47)</f>
        <v>10186.416666666673</v>
      </c>
      <c r="P48" s="46" cm="1">
        <f t="array" ref="P48">IF($N48=12,INDEX($A$32:$J$44,MATCH($M48,$A$32:$A$44,0),MATCH(P$1,$A$1:$J$1,0)),(INDEX($A$32:$J$44,MATCH($M48,$A$32:$A$44,0),MATCH(P$1,$A$1:$J$1,0))-INDEX($A$32:$J$44,MATCH($M48,$A$32:$A$44,0)-1,MATCH(P$1,$A$1:$J$1,0)))/12+P47)</f>
        <v>1221.5833333333342</v>
      </c>
      <c r="Q48" s="46" cm="1">
        <f t="array" ref="Q48">IF($N48=12,INDEX($A$32:$J$44,MATCH($M48,$A$32:$A$44,0),MATCH(Q$1,$A$1:$J$1,0)),(INDEX($A$32:$J$44,MATCH($M48,$A$32:$A$44,0),MATCH(Q$1,$A$1:$J$1,0))-INDEX($A$32:$J$44,MATCH($M48,$A$32:$A$44,0)-1,MATCH(Q$1,$A$1:$J$1,0)))/12+Q47)</f>
        <v>90</v>
      </c>
      <c r="R48" s="46" cm="1">
        <f t="array" ref="R48">IF($N48=12,INDEX($A$32:$J$44,MATCH($M48,$A$32:$A$44,0),MATCH(R$1,$A$1:$J$1,0)),(INDEX($A$32:$J$44,MATCH($M48,$A$32:$A$44,0),MATCH(R$1,$A$1:$J$1,0))-INDEX($A$32:$J$44,MATCH($M48,$A$32:$A$44,0)-1,MATCH(R$1,$A$1:$J$1,0)))/12+R47)</f>
        <v>2820.25</v>
      </c>
      <c r="S48" s="46" cm="1">
        <f t="array" ref="S48">IF($N48=12,INDEX($A$32:$J$44,MATCH($M48,$A$32:$A$44,0),MATCH(S$1,$A$1:$J$1,0)),(INDEX($A$32:$J$44,MATCH($M48,$A$32:$A$44,0),MATCH(S$1,$A$1:$J$1,0))-INDEX($A$32:$J$44,MATCH($M48,$A$32:$A$44,0)-1,MATCH(S$1,$A$1:$J$1,0)))/12+S47)</f>
        <v>31</v>
      </c>
      <c r="T48" s="46" cm="1">
        <f t="array" ref="T48">IF($N48=12,INDEX($A$32:$J$44,MATCH($M48,$A$32:$A$44,0),MATCH(T$1,$A$1:$J$1,0)),(INDEX($A$32:$J$44,MATCH($M48,$A$32:$A$44,0),MATCH(T$1,$A$1:$J$1,0))-INDEX($A$32:$J$44,MATCH($M48,$A$32:$A$44,0)-1,MATCH(T$1,$A$1:$J$1,0)))/12+T47)</f>
        <v>7</v>
      </c>
      <c r="U48" s="46" cm="1">
        <f t="array" ref="U48">IF($N48=12,INDEX($A$32:$J$44,MATCH($M48,$A$32:$A$44,0),MATCH(U$1,$A$1:$J$1,0)),(INDEX($A$32:$J$44,MATCH($M48,$A$32:$A$44,0),MATCH(U$1,$A$1:$J$1,0))-INDEX($A$32:$J$44,MATCH($M48,$A$32:$A$44,0)-1,MATCH(U$1,$A$1:$J$1,0)))/12+U47)</f>
        <v>4.9166666666666634</v>
      </c>
      <c r="V48" s="46" cm="1">
        <f t="array" ref="V48">IF($N48=12,INDEX($A$32:$J$44,MATCH($M48,$A$32:$A$44,0),MATCH(V$1,$A$1:$J$1,0)),(INDEX($A$32:$J$44,MATCH($M48,$A$32:$A$44,0),MATCH(V$1,$A$1:$J$1,0))-INDEX($A$32:$J$44,MATCH($M48,$A$32:$A$44,0)-1,MATCH(V$1,$A$1:$J$1,0)))/12+V47)</f>
        <v>14361.166666666673</v>
      </c>
      <c r="W48" s="46" cm="1">
        <f t="array" ref="W48">IF($N48=12,INDEX($A$32:$J$44,MATCH($M48,$A$32:$A$44,0),MATCH(W$1,$A$1:$J$1,0)),(INDEX($A$32:$J$44,MATCH($M48,$A$32:$A$44,0),MATCH(W$1,$A$1:$J$1,0))-INDEX($A$32:$J$44,MATCH($M48,$A$32:$A$44,0)-1,MATCH(W$1,$A$1:$J$1,0)))/12+W47)</f>
        <v>11647.916666666673</v>
      </c>
    </row>
    <row r="49" spans="2:23" x14ac:dyDescent="0.2">
      <c r="B49" s="18"/>
      <c r="C49" s="18"/>
      <c r="D49" s="18"/>
      <c r="E49" s="18"/>
      <c r="F49" s="18"/>
      <c r="G49" s="18"/>
      <c r="H49" s="18"/>
      <c r="L49" s="211">
        <f>'Purchased Power Model'!A50</f>
        <v>41974</v>
      </c>
      <c r="M49" s="212">
        <f>'Purchased Power Model'!B50</f>
        <v>2014</v>
      </c>
      <c r="N49" s="212">
        <f>'Purchased Power Model'!C50</f>
        <v>12</v>
      </c>
      <c r="O49" s="46" cm="1">
        <f t="array" ref="O49">IF($N49=12,INDEX($A$32:$J$44,MATCH($M49,$A$32:$A$44,0),MATCH(O$1,$A$1:$J$1,0)),(INDEX($A$32:$J$44,MATCH($M49,$A$32:$A$44,0),MATCH(O$1,$A$1:$J$1,0))-INDEX($A$32:$J$44,MATCH($M49,$A$32:$A$44,0)-1,MATCH(O$1,$A$1:$J$1,0)))/12+O48)</f>
        <v>10193</v>
      </c>
      <c r="P49" s="46" cm="1">
        <f t="array" ref="P49">IF($N49=12,INDEX($A$32:$J$44,MATCH($M49,$A$32:$A$44,0),MATCH(P$1,$A$1:$J$1,0)),(INDEX($A$32:$J$44,MATCH($M49,$A$32:$A$44,0),MATCH(P$1,$A$1:$J$1,0))-INDEX($A$32:$J$44,MATCH($M49,$A$32:$A$44,0)-1,MATCH(P$1,$A$1:$J$1,0)))/12+P48)</f>
        <v>1223</v>
      </c>
      <c r="Q49" s="46" cm="1">
        <f t="array" ref="Q49">IF($N49=12,INDEX($A$32:$J$44,MATCH($M49,$A$32:$A$44,0),MATCH(Q$1,$A$1:$J$1,0)),(INDEX($A$32:$J$44,MATCH($M49,$A$32:$A$44,0),MATCH(Q$1,$A$1:$J$1,0))-INDEX($A$32:$J$44,MATCH($M49,$A$32:$A$44,0)-1,MATCH(Q$1,$A$1:$J$1,0)))/12+Q48)</f>
        <v>90</v>
      </c>
      <c r="R49" s="46" cm="1">
        <f t="array" ref="R49">IF($N49=12,INDEX($A$32:$J$44,MATCH($M49,$A$32:$A$44,0),MATCH(R$1,$A$1:$J$1,0)),(INDEX($A$32:$J$44,MATCH($M49,$A$32:$A$44,0),MATCH(R$1,$A$1:$J$1,0))-INDEX($A$32:$J$44,MATCH($M49,$A$32:$A$44,0)-1,MATCH(R$1,$A$1:$J$1,0)))/12+R48)</f>
        <v>2821</v>
      </c>
      <c r="S49" s="46" cm="1">
        <f t="array" ref="S49">IF($N49=12,INDEX($A$32:$J$44,MATCH($M49,$A$32:$A$44,0),MATCH(S$1,$A$1:$J$1,0)),(INDEX($A$32:$J$44,MATCH($M49,$A$32:$A$44,0),MATCH(S$1,$A$1:$J$1,0))-INDEX($A$32:$J$44,MATCH($M49,$A$32:$A$44,0)-1,MATCH(S$1,$A$1:$J$1,0)))/12+S48)</f>
        <v>31</v>
      </c>
      <c r="T49" s="46" cm="1">
        <f t="array" ref="T49">IF($N49=12,INDEX($A$32:$J$44,MATCH($M49,$A$32:$A$44,0),MATCH(T$1,$A$1:$J$1,0)),(INDEX($A$32:$J$44,MATCH($M49,$A$32:$A$44,0),MATCH(T$1,$A$1:$J$1,0))-INDEX($A$32:$J$44,MATCH($M49,$A$32:$A$44,0)-1,MATCH(T$1,$A$1:$J$1,0)))/12+T48)</f>
        <v>7</v>
      </c>
      <c r="U49" s="46" cm="1">
        <f t="array" ref="U49">IF($N49=12,INDEX($A$32:$J$44,MATCH($M49,$A$32:$A$44,0),MATCH(U$1,$A$1:$J$1,0)),(INDEX($A$32:$J$44,MATCH($M49,$A$32:$A$44,0),MATCH(U$1,$A$1:$J$1,0))-INDEX($A$32:$J$44,MATCH($M49,$A$32:$A$44,0)-1,MATCH(U$1,$A$1:$J$1,0)))/12+U48)</f>
        <v>5</v>
      </c>
      <c r="V49" s="46" cm="1">
        <f t="array" ref="V49">IF($N49=12,INDEX($A$32:$J$44,MATCH($M49,$A$32:$A$44,0),MATCH(V$1,$A$1:$J$1,0)),(INDEX($A$32:$J$44,MATCH($M49,$A$32:$A$44,0),MATCH(V$1,$A$1:$J$1,0))-INDEX($A$32:$J$44,MATCH($M49,$A$32:$A$44,0)-1,MATCH(V$1,$A$1:$J$1,0)))/12+V48)</f>
        <v>14370</v>
      </c>
      <c r="W49" s="46" cm="1">
        <f t="array" ref="W49">IF($N49=12,INDEX($A$32:$J$44,MATCH($M49,$A$32:$A$44,0),MATCH(W$1,$A$1:$J$1,0)),(INDEX($A$32:$J$44,MATCH($M49,$A$32:$A$44,0),MATCH(W$1,$A$1:$J$1,0))-INDEX($A$32:$J$44,MATCH($M49,$A$32:$A$44,0)-1,MATCH(W$1,$A$1:$J$1,0)))/12+W48)</f>
        <v>11656</v>
      </c>
    </row>
    <row r="50" spans="2:23" x14ac:dyDescent="0.2">
      <c r="B50" s="18"/>
      <c r="C50" s="18"/>
      <c r="D50" s="18"/>
      <c r="E50" s="18"/>
      <c r="F50" s="18"/>
      <c r="G50" s="18"/>
      <c r="H50" s="18"/>
      <c r="L50" s="211">
        <f>'Purchased Power Model'!A51</f>
        <v>42005</v>
      </c>
      <c r="M50" s="212">
        <f>'Purchased Power Model'!B51</f>
        <v>2015</v>
      </c>
      <c r="N50" s="212">
        <f>'Purchased Power Model'!C51</f>
        <v>1</v>
      </c>
      <c r="O50" s="46" cm="1">
        <f t="array" ref="O50">IF($N50=12,INDEX($A$32:$J$44,MATCH($M50,$A$32:$A$44,0),MATCH(O$1,$A$1:$J$1,0)),(INDEX($A$32:$J$44,MATCH($M50,$A$32:$A$44,0),MATCH(O$1,$A$1:$J$1,0))-INDEX($A$32:$J$44,MATCH($M50,$A$32:$A$44,0)-1,MATCH(O$1,$A$1:$J$1,0)))/12+O49)</f>
        <v>10197.083333333334</v>
      </c>
      <c r="P50" s="46" cm="1">
        <f t="array" ref="P50">IF($N50=12,INDEX($A$32:$J$44,MATCH($M50,$A$32:$A$44,0),MATCH(P$1,$A$1:$J$1,0)),(INDEX($A$32:$J$44,MATCH($M50,$A$32:$A$44,0),MATCH(P$1,$A$1:$J$1,0))-INDEX($A$32:$J$44,MATCH($M50,$A$32:$A$44,0)-1,MATCH(P$1,$A$1:$J$1,0)))/12+P49)</f>
        <v>1222.6666666666667</v>
      </c>
      <c r="Q50" s="46" cm="1">
        <f t="array" ref="Q50">IF($N50=12,INDEX($A$32:$J$44,MATCH($M50,$A$32:$A$44,0),MATCH(Q$1,$A$1:$J$1,0)),(INDEX($A$32:$J$44,MATCH($M50,$A$32:$A$44,0),MATCH(Q$1,$A$1:$J$1,0))-INDEX($A$32:$J$44,MATCH($M50,$A$32:$A$44,0)-1,MATCH(Q$1,$A$1:$J$1,0)))/12+Q49)</f>
        <v>90.416666666666671</v>
      </c>
      <c r="R50" s="46" cm="1">
        <f t="array" ref="R50">IF($N50=12,INDEX($A$32:$J$44,MATCH($M50,$A$32:$A$44,0),MATCH(R$1,$A$1:$J$1,0)),(INDEX($A$32:$J$44,MATCH($M50,$A$32:$A$44,0),MATCH(R$1,$A$1:$J$1,0))-INDEX($A$32:$J$44,MATCH($M50,$A$32:$A$44,0)-1,MATCH(R$1,$A$1:$J$1,0)))/12+R49)</f>
        <v>2821.75</v>
      </c>
      <c r="S50" s="46" cm="1">
        <f t="array" ref="S50">IF($N50=12,INDEX($A$32:$J$44,MATCH($M50,$A$32:$A$44,0),MATCH(S$1,$A$1:$J$1,0)),(INDEX($A$32:$J$44,MATCH($M50,$A$32:$A$44,0),MATCH(S$1,$A$1:$J$1,0))-INDEX($A$32:$J$44,MATCH($M50,$A$32:$A$44,0)-1,MATCH(S$1,$A$1:$J$1,0)))/12+S49)</f>
        <v>31</v>
      </c>
      <c r="T50" s="46" cm="1">
        <f t="array" ref="T50">IF($N50=12,INDEX($A$32:$J$44,MATCH($M50,$A$32:$A$44,0),MATCH(T$1,$A$1:$J$1,0)),(INDEX($A$32:$J$44,MATCH($M50,$A$32:$A$44,0),MATCH(T$1,$A$1:$J$1,0))-INDEX($A$32:$J$44,MATCH($M50,$A$32:$A$44,0)-1,MATCH(T$1,$A$1:$J$1,0)))/12+T49)</f>
        <v>7</v>
      </c>
      <c r="U50" s="46" cm="1">
        <f t="array" ref="U50">IF($N50=12,INDEX($A$32:$J$44,MATCH($M50,$A$32:$A$44,0),MATCH(U$1,$A$1:$J$1,0)),(INDEX($A$32:$J$44,MATCH($M50,$A$32:$A$44,0),MATCH(U$1,$A$1:$J$1,0))-INDEX($A$32:$J$44,MATCH($M50,$A$32:$A$44,0)-1,MATCH(U$1,$A$1:$J$1,0)))/12+U49)</f>
        <v>5</v>
      </c>
      <c r="V50" s="46" cm="1">
        <f t="array" ref="V50">IF($N50=12,INDEX($A$32:$J$44,MATCH($M50,$A$32:$A$44,0),MATCH(V$1,$A$1:$J$1,0)),(INDEX($A$32:$J$44,MATCH($M50,$A$32:$A$44,0),MATCH(V$1,$A$1:$J$1,0))-INDEX($A$32:$J$44,MATCH($M50,$A$32:$A$44,0)-1,MATCH(V$1,$A$1:$J$1,0)))/12+V49)</f>
        <v>14374.916666666666</v>
      </c>
      <c r="W50" s="46" cm="1">
        <f t="array" ref="W50">IF($N50=12,INDEX($A$32:$J$44,MATCH($M50,$A$32:$A$44,0),MATCH(W$1,$A$1:$J$1,0)),(INDEX($A$32:$J$44,MATCH($M50,$A$32:$A$44,0),MATCH(W$1,$A$1:$J$1,0))-INDEX($A$32:$J$44,MATCH($M50,$A$32:$A$44,0)-1,MATCH(W$1,$A$1:$J$1,0)))/12+W49)</f>
        <v>11660.166666666666</v>
      </c>
    </row>
    <row r="51" spans="2:23" x14ac:dyDescent="0.2">
      <c r="B51" s="18"/>
      <c r="C51" s="18"/>
      <c r="D51" s="18"/>
      <c r="E51" s="18"/>
      <c r="F51" s="18"/>
      <c r="G51" s="18"/>
      <c r="H51" s="18"/>
      <c r="L51" s="211">
        <f>'Purchased Power Model'!A52</f>
        <v>42036</v>
      </c>
      <c r="M51" s="212">
        <f>'Purchased Power Model'!B52</f>
        <v>2015</v>
      </c>
      <c r="N51" s="212">
        <f>'Purchased Power Model'!C52</f>
        <v>2</v>
      </c>
      <c r="O51" s="46" cm="1">
        <f t="array" ref="O51">IF($N51=12,INDEX($A$32:$J$44,MATCH($M51,$A$32:$A$44,0),MATCH(O$1,$A$1:$J$1,0)),(INDEX($A$32:$J$44,MATCH($M51,$A$32:$A$44,0),MATCH(O$1,$A$1:$J$1,0))-INDEX($A$32:$J$44,MATCH($M51,$A$32:$A$44,0)-1,MATCH(O$1,$A$1:$J$1,0)))/12+O50)</f>
        <v>10201.166666666668</v>
      </c>
      <c r="P51" s="46" cm="1">
        <f t="array" ref="P51">IF($N51=12,INDEX($A$32:$J$44,MATCH($M51,$A$32:$A$44,0),MATCH(P$1,$A$1:$J$1,0)),(INDEX($A$32:$J$44,MATCH($M51,$A$32:$A$44,0),MATCH(P$1,$A$1:$J$1,0))-INDEX($A$32:$J$44,MATCH($M51,$A$32:$A$44,0)-1,MATCH(P$1,$A$1:$J$1,0)))/12+P50)</f>
        <v>1222.3333333333335</v>
      </c>
      <c r="Q51" s="46" cm="1">
        <f t="array" ref="Q51">IF($N51=12,INDEX($A$32:$J$44,MATCH($M51,$A$32:$A$44,0),MATCH(Q$1,$A$1:$J$1,0)),(INDEX($A$32:$J$44,MATCH($M51,$A$32:$A$44,0),MATCH(Q$1,$A$1:$J$1,0))-INDEX($A$32:$J$44,MATCH($M51,$A$32:$A$44,0)-1,MATCH(Q$1,$A$1:$J$1,0)))/12+Q50)</f>
        <v>90.833333333333343</v>
      </c>
      <c r="R51" s="46" cm="1">
        <f t="array" ref="R51">IF($N51=12,INDEX($A$32:$J$44,MATCH($M51,$A$32:$A$44,0),MATCH(R$1,$A$1:$J$1,0)),(INDEX($A$32:$J$44,MATCH($M51,$A$32:$A$44,0),MATCH(R$1,$A$1:$J$1,0))-INDEX($A$32:$J$44,MATCH($M51,$A$32:$A$44,0)-1,MATCH(R$1,$A$1:$J$1,0)))/12+R50)</f>
        <v>2822.5</v>
      </c>
      <c r="S51" s="46" cm="1">
        <f t="array" ref="S51">IF($N51=12,INDEX($A$32:$J$44,MATCH($M51,$A$32:$A$44,0),MATCH(S$1,$A$1:$J$1,0)),(INDEX($A$32:$J$44,MATCH($M51,$A$32:$A$44,0),MATCH(S$1,$A$1:$J$1,0))-INDEX($A$32:$J$44,MATCH($M51,$A$32:$A$44,0)-1,MATCH(S$1,$A$1:$J$1,0)))/12+S50)</f>
        <v>31</v>
      </c>
      <c r="T51" s="46" cm="1">
        <f t="array" ref="T51">IF($N51=12,INDEX($A$32:$J$44,MATCH($M51,$A$32:$A$44,0),MATCH(T$1,$A$1:$J$1,0)),(INDEX($A$32:$J$44,MATCH($M51,$A$32:$A$44,0),MATCH(T$1,$A$1:$J$1,0))-INDEX($A$32:$J$44,MATCH($M51,$A$32:$A$44,0)-1,MATCH(T$1,$A$1:$J$1,0)))/12+T50)</f>
        <v>7</v>
      </c>
      <c r="U51" s="46" cm="1">
        <f t="array" ref="U51">IF($N51=12,INDEX($A$32:$J$44,MATCH($M51,$A$32:$A$44,0),MATCH(U$1,$A$1:$J$1,0)),(INDEX($A$32:$J$44,MATCH($M51,$A$32:$A$44,0),MATCH(U$1,$A$1:$J$1,0))-INDEX($A$32:$J$44,MATCH($M51,$A$32:$A$44,0)-1,MATCH(U$1,$A$1:$J$1,0)))/12+U50)</f>
        <v>5</v>
      </c>
      <c r="V51" s="46" cm="1">
        <f t="array" ref="V51">IF($N51=12,INDEX($A$32:$J$44,MATCH($M51,$A$32:$A$44,0),MATCH(V$1,$A$1:$J$1,0)),(INDEX($A$32:$J$44,MATCH($M51,$A$32:$A$44,0),MATCH(V$1,$A$1:$J$1,0))-INDEX($A$32:$J$44,MATCH($M51,$A$32:$A$44,0)-1,MATCH(V$1,$A$1:$J$1,0)))/12+V50)</f>
        <v>14379.833333333332</v>
      </c>
      <c r="W51" s="46" cm="1">
        <f t="array" ref="W51">IF($N51=12,INDEX($A$32:$J$44,MATCH($M51,$A$32:$A$44,0),MATCH(W$1,$A$1:$J$1,0)),(INDEX($A$32:$J$44,MATCH($M51,$A$32:$A$44,0),MATCH(W$1,$A$1:$J$1,0))-INDEX($A$32:$J$44,MATCH($M51,$A$32:$A$44,0)-1,MATCH(W$1,$A$1:$J$1,0)))/12+W50)</f>
        <v>11664.333333333332</v>
      </c>
    </row>
    <row r="52" spans="2:23" x14ac:dyDescent="0.2">
      <c r="B52" s="18"/>
      <c r="C52" s="18"/>
      <c r="D52" s="18"/>
      <c r="E52" s="18"/>
      <c r="F52" s="18"/>
      <c r="G52" s="18"/>
      <c r="H52" s="18"/>
      <c r="L52" s="211">
        <f>'Purchased Power Model'!A53</f>
        <v>42064</v>
      </c>
      <c r="M52" s="212">
        <f>'Purchased Power Model'!B53</f>
        <v>2015</v>
      </c>
      <c r="N52" s="212">
        <f>'Purchased Power Model'!C53</f>
        <v>3</v>
      </c>
      <c r="O52" s="46" cm="1">
        <f t="array" ref="O52">IF($N52=12,INDEX($A$32:$J$44,MATCH($M52,$A$32:$A$44,0),MATCH(O$1,$A$1:$J$1,0)),(INDEX($A$32:$J$44,MATCH($M52,$A$32:$A$44,0),MATCH(O$1,$A$1:$J$1,0))-INDEX($A$32:$J$44,MATCH($M52,$A$32:$A$44,0)-1,MATCH(O$1,$A$1:$J$1,0)))/12+O51)</f>
        <v>10205.250000000002</v>
      </c>
      <c r="P52" s="46" cm="1">
        <f t="array" ref="P52">IF($N52=12,INDEX($A$32:$J$44,MATCH($M52,$A$32:$A$44,0),MATCH(P$1,$A$1:$J$1,0)),(INDEX($A$32:$J$44,MATCH($M52,$A$32:$A$44,0),MATCH(P$1,$A$1:$J$1,0))-INDEX($A$32:$J$44,MATCH($M52,$A$32:$A$44,0)-1,MATCH(P$1,$A$1:$J$1,0)))/12+P51)</f>
        <v>1222.0000000000002</v>
      </c>
      <c r="Q52" s="46" cm="1">
        <f t="array" ref="Q52">IF($N52=12,INDEX($A$32:$J$44,MATCH($M52,$A$32:$A$44,0),MATCH(Q$1,$A$1:$J$1,0)),(INDEX($A$32:$J$44,MATCH($M52,$A$32:$A$44,0),MATCH(Q$1,$A$1:$J$1,0))-INDEX($A$32:$J$44,MATCH($M52,$A$32:$A$44,0)-1,MATCH(Q$1,$A$1:$J$1,0)))/12+Q51)</f>
        <v>91.250000000000014</v>
      </c>
      <c r="R52" s="46" cm="1">
        <f t="array" ref="R52">IF($N52=12,INDEX($A$32:$J$44,MATCH($M52,$A$32:$A$44,0),MATCH(R$1,$A$1:$J$1,0)),(INDEX($A$32:$J$44,MATCH($M52,$A$32:$A$44,0),MATCH(R$1,$A$1:$J$1,0))-INDEX($A$32:$J$44,MATCH($M52,$A$32:$A$44,0)-1,MATCH(R$1,$A$1:$J$1,0)))/12+R51)</f>
        <v>2823.25</v>
      </c>
      <c r="S52" s="46" cm="1">
        <f t="array" ref="S52">IF($N52=12,INDEX($A$32:$J$44,MATCH($M52,$A$32:$A$44,0),MATCH(S$1,$A$1:$J$1,0)),(INDEX($A$32:$J$44,MATCH($M52,$A$32:$A$44,0),MATCH(S$1,$A$1:$J$1,0))-INDEX($A$32:$J$44,MATCH($M52,$A$32:$A$44,0)-1,MATCH(S$1,$A$1:$J$1,0)))/12+S51)</f>
        <v>31</v>
      </c>
      <c r="T52" s="46" cm="1">
        <f t="array" ref="T52">IF($N52=12,INDEX($A$32:$J$44,MATCH($M52,$A$32:$A$44,0),MATCH(T$1,$A$1:$J$1,0)),(INDEX($A$32:$J$44,MATCH($M52,$A$32:$A$44,0),MATCH(T$1,$A$1:$J$1,0))-INDEX($A$32:$J$44,MATCH($M52,$A$32:$A$44,0)-1,MATCH(T$1,$A$1:$J$1,0)))/12+T51)</f>
        <v>7</v>
      </c>
      <c r="U52" s="46" cm="1">
        <f t="array" ref="U52">IF($N52=12,INDEX($A$32:$J$44,MATCH($M52,$A$32:$A$44,0),MATCH(U$1,$A$1:$J$1,0)),(INDEX($A$32:$J$44,MATCH($M52,$A$32:$A$44,0),MATCH(U$1,$A$1:$J$1,0))-INDEX($A$32:$J$44,MATCH($M52,$A$32:$A$44,0)-1,MATCH(U$1,$A$1:$J$1,0)))/12+U51)</f>
        <v>5</v>
      </c>
      <c r="V52" s="46" cm="1">
        <f t="array" ref="V52">IF($N52=12,INDEX($A$32:$J$44,MATCH($M52,$A$32:$A$44,0),MATCH(V$1,$A$1:$J$1,0)),(INDEX($A$32:$J$44,MATCH($M52,$A$32:$A$44,0),MATCH(V$1,$A$1:$J$1,0))-INDEX($A$32:$J$44,MATCH($M52,$A$32:$A$44,0)-1,MATCH(V$1,$A$1:$J$1,0)))/12+V51)</f>
        <v>14384.749999999998</v>
      </c>
      <c r="W52" s="46" cm="1">
        <f t="array" ref="W52">IF($N52=12,INDEX($A$32:$J$44,MATCH($M52,$A$32:$A$44,0),MATCH(W$1,$A$1:$J$1,0)),(INDEX($A$32:$J$44,MATCH($M52,$A$32:$A$44,0),MATCH(W$1,$A$1:$J$1,0))-INDEX($A$32:$J$44,MATCH($M52,$A$32:$A$44,0)-1,MATCH(W$1,$A$1:$J$1,0)))/12+W51)</f>
        <v>11668.499999999998</v>
      </c>
    </row>
    <row r="53" spans="2:23" x14ac:dyDescent="0.2">
      <c r="B53" s="18"/>
      <c r="C53" s="18"/>
      <c r="D53" s="18"/>
      <c r="E53" s="18"/>
      <c r="F53" s="18"/>
      <c r="G53" s="18"/>
      <c r="H53" s="18"/>
      <c r="L53" s="211">
        <f>'Purchased Power Model'!A54</f>
        <v>42095</v>
      </c>
      <c r="M53" s="212">
        <f>'Purchased Power Model'!B54</f>
        <v>2015</v>
      </c>
      <c r="N53" s="212">
        <f>'Purchased Power Model'!C54</f>
        <v>4</v>
      </c>
      <c r="O53" s="46" cm="1">
        <f t="array" ref="O53">IF($N53=12,INDEX($A$32:$J$44,MATCH($M53,$A$32:$A$44,0),MATCH(O$1,$A$1:$J$1,0)),(INDEX($A$32:$J$44,MATCH($M53,$A$32:$A$44,0),MATCH(O$1,$A$1:$J$1,0))-INDEX($A$32:$J$44,MATCH($M53,$A$32:$A$44,0)-1,MATCH(O$1,$A$1:$J$1,0)))/12+O52)</f>
        <v>10209.333333333336</v>
      </c>
      <c r="P53" s="46" cm="1">
        <f t="array" ref="P53">IF($N53=12,INDEX($A$32:$J$44,MATCH($M53,$A$32:$A$44,0),MATCH(P$1,$A$1:$J$1,0)),(INDEX($A$32:$J$44,MATCH($M53,$A$32:$A$44,0),MATCH(P$1,$A$1:$J$1,0))-INDEX($A$32:$J$44,MATCH($M53,$A$32:$A$44,0)-1,MATCH(P$1,$A$1:$J$1,0)))/12+P52)</f>
        <v>1221.666666666667</v>
      </c>
      <c r="Q53" s="46" cm="1">
        <f t="array" ref="Q53">IF($N53=12,INDEX($A$32:$J$44,MATCH($M53,$A$32:$A$44,0),MATCH(Q$1,$A$1:$J$1,0)),(INDEX($A$32:$J$44,MATCH($M53,$A$32:$A$44,0),MATCH(Q$1,$A$1:$J$1,0))-INDEX($A$32:$J$44,MATCH($M53,$A$32:$A$44,0)-1,MATCH(Q$1,$A$1:$J$1,0)))/12+Q52)</f>
        <v>91.666666666666686</v>
      </c>
      <c r="R53" s="46" cm="1">
        <f t="array" ref="R53">IF($N53=12,INDEX($A$32:$J$44,MATCH($M53,$A$32:$A$44,0),MATCH(R$1,$A$1:$J$1,0)),(INDEX($A$32:$J$44,MATCH($M53,$A$32:$A$44,0),MATCH(R$1,$A$1:$J$1,0))-INDEX($A$32:$J$44,MATCH($M53,$A$32:$A$44,0)-1,MATCH(R$1,$A$1:$J$1,0)))/12+R52)</f>
        <v>2824</v>
      </c>
      <c r="S53" s="46" cm="1">
        <f t="array" ref="S53">IF($N53=12,INDEX($A$32:$J$44,MATCH($M53,$A$32:$A$44,0),MATCH(S$1,$A$1:$J$1,0)),(INDEX($A$32:$J$44,MATCH($M53,$A$32:$A$44,0),MATCH(S$1,$A$1:$J$1,0))-INDEX($A$32:$J$44,MATCH($M53,$A$32:$A$44,0)-1,MATCH(S$1,$A$1:$J$1,0)))/12+S52)</f>
        <v>31</v>
      </c>
      <c r="T53" s="46" cm="1">
        <f t="array" ref="T53">IF($N53=12,INDEX($A$32:$J$44,MATCH($M53,$A$32:$A$44,0),MATCH(T$1,$A$1:$J$1,0)),(INDEX($A$32:$J$44,MATCH($M53,$A$32:$A$44,0),MATCH(T$1,$A$1:$J$1,0))-INDEX($A$32:$J$44,MATCH($M53,$A$32:$A$44,0)-1,MATCH(T$1,$A$1:$J$1,0)))/12+T52)</f>
        <v>7</v>
      </c>
      <c r="U53" s="46" cm="1">
        <f t="array" ref="U53">IF($N53=12,INDEX($A$32:$J$44,MATCH($M53,$A$32:$A$44,0),MATCH(U$1,$A$1:$J$1,0)),(INDEX($A$32:$J$44,MATCH($M53,$A$32:$A$44,0),MATCH(U$1,$A$1:$J$1,0))-INDEX($A$32:$J$44,MATCH($M53,$A$32:$A$44,0)-1,MATCH(U$1,$A$1:$J$1,0)))/12+U52)</f>
        <v>5</v>
      </c>
      <c r="V53" s="46" cm="1">
        <f t="array" ref="V53">IF($N53=12,INDEX($A$32:$J$44,MATCH($M53,$A$32:$A$44,0),MATCH(V$1,$A$1:$J$1,0)),(INDEX($A$32:$J$44,MATCH($M53,$A$32:$A$44,0),MATCH(V$1,$A$1:$J$1,0))-INDEX($A$32:$J$44,MATCH($M53,$A$32:$A$44,0)-1,MATCH(V$1,$A$1:$J$1,0)))/12+V52)</f>
        <v>14389.666666666664</v>
      </c>
      <c r="W53" s="46" cm="1">
        <f t="array" ref="W53">IF($N53=12,INDEX($A$32:$J$44,MATCH($M53,$A$32:$A$44,0),MATCH(W$1,$A$1:$J$1,0)),(INDEX($A$32:$J$44,MATCH($M53,$A$32:$A$44,0),MATCH(W$1,$A$1:$J$1,0))-INDEX($A$32:$J$44,MATCH($M53,$A$32:$A$44,0)-1,MATCH(W$1,$A$1:$J$1,0)))/12+W52)</f>
        <v>11672.666666666664</v>
      </c>
    </row>
    <row r="54" spans="2:23" x14ac:dyDescent="0.2">
      <c r="B54" s="18"/>
      <c r="C54" s="18"/>
      <c r="D54" s="18"/>
      <c r="E54" s="18"/>
      <c r="F54" s="18"/>
      <c r="G54" s="18"/>
      <c r="H54" s="18"/>
      <c r="L54" s="211">
        <f>'Purchased Power Model'!A55</f>
        <v>42125</v>
      </c>
      <c r="M54" s="212">
        <f>'Purchased Power Model'!B55</f>
        <v>2015</v>
      </c>
      <c r="N54" s="212">
        <f>'Purchased Power Model'!C55</f>
        <v>5</v>
      </c>
      <c r="O54" s="46" cm="1">
        <f t="array" ref="O54">IF($N54=12,INDEX($A$32:$J$44,MATCH($M54,$A$32:$A$44,0),MATCH(O$1,$A$1:$J$1,0)),(INDEX($A$32:$J$44,MATCH($M54,$A$32:$A$44,0),MATCH(O$1,$A$1:$J$1,0))-INDEX($A$32:$J$44,MATCH($M54,$A$32:$A$44,0)-1,MATCH(O$1,$A$1:$J$1,0)))/12+O53)</f>
        <v>10213.41666666667</v>
      </c>
      <c r="P54" s="46" cm="1">
        <f t="array" ref="P54">IF($N54=12,INDEX($A$32:$J$44,MATCH($M54,$A$32:$A$44,0),MATCH(P$1,$A$1:$J$1,0)),(INDEX($A$32:$J$44,MATCH($M54,$A$32:$A$44,0),MATCH(P$1,$A$1:$J$1,0))-INDEX($A$32:$J$44,MATCH($M54,$A$32:$A$44,0)-1,MATCH(P$1,$A$1:$J$1,0)))/12+P53)</f>
        <v>1221.3333333333337</v>
      </c>
      <c r="Q54" s="46" cm="1">
        <f t="array" ref="Q54">IF($N54=12,INDEX($A$32:$J$44,MATCH($M54,$A$32:$A$44,0),MATCH(Q$1,$A$1:$J$1,0)),(INDEX($A$32:$J$44,MATCH($M54,$A$32:$A$44,0),MATCH(Q$1,$A$1:$J$1,0))-INDEX($A$32:$J$44,MATCH($M54,$A$32:$A$44,0)-1,MATCH(Q$1,$A$1:$J$1,0)))/12+Q53)</f>
        <v>92.083333333333357</v>
      </c>
      <c r="R54" s="46" cm="1">
        <f t="array" ref="R54">IF($N54=12,INDEX($A$32:$J$44,MATCH($M54,$A$32:$A$44,0),MATCH(R$1,$A$1:$J$1,0)),(INDEX($A$32:$J$44,MATCH($M54,$A$32:$A$44,0),MATCH(R$1,$A$1:$J$1,0))-INDEX($A$32:$J$44,MATCH($M54,$A$32:$A$44,0)-1,MATCH(R$1,$A$1:$J$1,0)))/12+R53)</f>
        <v>2824.75</v>
      </c>
      <c r="S54" s="46" cm="1">
        <f t="array" ref="S54">IF($N54=12,INDEX($A$32:$J$44,MATCH($M54,$A$32:$A$44,0),MATCH(S$1,$A$1:$J$1,0)),(INDEX($A$32:$J$44,MATCH($M54,$A$32:$A$44,0),MATCH(S$1,$A$1:$J$1,0))-INDEX($A$32:$J$44,MATCH($M54,$A$32:$A$44,0)-1,MATCH(S$1,$A$1:$J$1,0)))/12+S53)</f>
        <v>31</v>
      </c>
      <c r="T54" s="46" cm="1">
        <f t="array" ref="T54">IF($N54=12,INDEX($A$32:$J$44,MATCH($M54,$A$32:$A$44,0),MATCH(T$1,$A$1:$J$1,0)),(INDEX($A$32:$J$44,MATCH($M54,$A$32:$A$44,0),MATCH(T$1,$A$1:$J$1,0))-INDEX($A$32:$J$44,MATCH($M54,$A$32:$A$44,0)-1,MATCH(T$1,$A$1:$J$1,0)))/12+T53)</f>
        <v>7</v>
      </c>
      <c r="U54" s="46" cm="1">
        <f t="array" ref="U54">IF($N54=12,INDEX($A$32:$J$44,MATCH($M54,$A$32:$A$44,0),MATCH(U$1,$A$1:$J$1,0)),(INDEX($A$32:$J$44,MATCH($M54,$A$32:$A$44,0),MATCH(U$1,$A$1:$J$1,0))-INDEX($A$32:$J$44,MATCH($M54,$A$32:$A$44,0)-1,MATCH(U$1,$A$1:$J$1,0)))/12+U53)</f>
        <v>5</v>
      </c>
      <c r="V54" s="46" cm="1">
        <f t="array" ref="V54">IF($N54=12,INDEX($A$32:$J$44,MATCH($M54,$A$32:$A$44,0),MATCH(V$1,$A$1:$J$1,0)),(INDEX($A$32:$J$44,MATCH($M54,$A$32:$A$44,0),MATCH(V$1,$A$1:$J$1,0))-INDEX($A$32:$J$44,MATCH($M54,$A$32:$A$44,0)-1,MATCH(V$1,$A$1:$J$1,0)))/12+V53)</f>
        <v>14394.58333333333</v>
      </c>
      <c r="W54" s="46" cm="1">
        <f t="array" ref="W54">IF($N54=12,INDEX($A$32:$J$44,MATCH($M54,$A$32:$A$44,0),MATCH(W$1,$A$1:$J$1,0)),(INDEX($A$32:$J$44,MATCH($M54,$A$32:$A$44,0),MATCH(W$1,$A$1:$J$1,0))-INDEX($A$32:$J$44,MATCH($M54,$A$32:$A$44,0)-1,MATCH(W$1,$A$1:$J$1,0)))/12+W53)</f>
        <v>11676.83333333333</v>
      </c>
    </row>
    <row r="55" spans="2:23" x14ac:dyDescent="0.2">
      <c r="B55" s="18"/>
      <c r="C55" s="18"/>
      <c r="G55" s="18"/>
      <c r="H55" s="18"/>
      <c r="L55" s="211">
        <f>'Purchased Power Model'!A56</f>
        <v>42156</v>
      </c>
      <c r="M55" s="212">
        <f>'Purchased Power Model'!B56</f>
        <v>2015</v>
      </c>
      <c r="N55" s="212">
        <f>'Purchased Power Model'!C56</f>
        <v>6</v>
      </c>
      <c r="O55" s="46" cm="1">
        <f t="array" ref="O55">IF($N55=12,INDEX($A$32:$J$44,MATCH($M55,$A$32:$A$44,0),MATCH(O$1,$A$1:$J$1,0)),(INDEX($A$32:$J$44,MATCH($M55,$A$32:$A$44,0),MATCH(O$1,$A$1:$J$1,0))-INDEX($A$32:$J$44,MATCH($M55,$A$32:$A$44,0)-1,MATCH(O$1,$A$1:$J$1,0)))/12+O54)</f>
        <v>10217.500000000004</v>
      </c>
      <c r="P55" s="46" cm="1">
        <f t="array" ref="P55">IF($N55=12,INDEX($A$32:$J$44,MATCH($M55,$A$32:$A$44,0),MATCH(P$1,$A$1:$J$1,0)),(INDEX($A$32:$J$44,MATCH($M55,$A$32:$A$44,0),MATCH(P$1,$A$1:$J$1,0))-INDEX($A$32:$J$44,MATCH($M55,$A$32:$A$44,0)-1,MATCH(P$1,$A$1:$J$1,0)))/12+P54)</f>
        <v>1221.0000000000005</v>
      </c>
      <c r="Q55" s="46" cm="1">
        <f t="array" ref="Q55">IF($N55=12,INDEX($A$32:$J$44,MATCH($M55,$A$32:$A$44,0),MATCH(Q$1,$A$1:$J$1,0)),(INDEX($A$32:$J$44,MATCH($M55,$A$32:$A$44,0),MATCH(Q$1,$A$1:$J$1,0))-INDEX($A$32:$J$44,MATCH($M55,$A$32:$A$44,0)-1,MATCH(Q$1,$A$1:$J$1,0)))/12+Q54)</f>
        <v>92.500000000000028</v>
      </c>
      <c r="R55" s="46" cm="1">
        <f t="array" ref="R55">IF($N55=12,INDEX($A$32:$J$44,MATCH($M55,$A$32:$A$44,0),MATCH(R$1,$A$1:$J$1,0)),(INDEX($A$32:$J$44,MATCH($M55,$A$32:$A$44,0),MATCH(R$1,$A$1:$J$1,0))-INDEX($A$32:$J$44,MATCH($M55,$A$32:$A$44,0)-1,MATCH(R$1,$A$1:$J$1,0)))/12+R54)</f>
        <v>2825.5</v>
      </c>
      <c r="S55" s="46" cm="1">
        <f t="array" ref="S55">IF($N55=12,INDEX($A$32:$J$44,MATCH($M55,$A$32:$A$44,0),MATCH(S$1,$A$1:$J$1,0)),(INDEX($A$32:$J$44,MATCH($M55,$A$32:$A$44,0),MATCH(S$1,$A$1:$J$1,0))-INDEX($A$32:$J$44,MATCH($M55,$A$32:$A$44,0)-1,MATCH(S$1,$A$1:$J$1,0)))/12+S54)</f>
        <v>31</v>
      </c>
      <c r="T55" s="46" cm="1">
        <f t="array" ref="T55">IF($N55=12,INDEX($A$32:$J$44,MATCH($M55,$A$32:$A$44,0),MATCH(T$1,$A$1:$J$1,0)),(INDEX($A$32:$J$44,MATCH($M55,$A$32:$A$44,0),MATCH(T$1,$A$1:$J$1,0))-INDEX($A$32:$J$44,MATCH($M55,$A$32:$A$44,0)-1,MATCH(T$1,$A$1:$J$1,0)))/12+T54)</f>
        <v>7</v>
      </c>
      <c r="U55" s="46" cm="1">
        <f t="array" ref="U55">IF($N55=12,INDEX($A$32:$J$44,MATCH($M55,$A$32:$A$44,0),MATCH(U$1,$A$1:$J$1,0)),(INDEX($A$32:$J$44,MATCH($M55,$A$32:$A$44,0),MATCH(U$1,$A$1:$J$1,0))-INDEX($A$32:$J$44,MATCH($M55,$A$32:$A$44,0)-1,MATCH(U$1,$A$1:$J$1,0)))/12+U54)</f>
        <v>5</v>
      </c>
      <c r="V55" s="46" cm="1">
        <f t="array" ref="V55">IF($N55=12,INDEX($A$32:$J$44,MATCH($M55,$A$32:$A$44,0),MATCH(V$1,$A$1:$J$1,0)),(INDEX($A$32:$J$44,MATCH($M55,$A$32:$A$44,0),MATCH(V$1,$A$1:$J$1,0))-INDEX($A$32:$J$44,MATCH($M55,$A$32:$A$44,0)-1,MATCH(V$1,$A$1:$J$1,0)))/12+V54)</f>
        <v>14399.499999999996</v>
      </c>
      <c r="W55" s="46" cm="1">
        <f t="array" ref="W55">IF($N55=12,INDEX($A$32:$J$44,MATCH($M55,$A$32:$A$44,0),MATCH(W$1,$A$1:$J$1,0)),(INDEX($A$32:$J$44,MATCH($M55,$A$32:$A$44,0),MATCH(W$1,$A$1:$J$1,0))-INDEX($A$32:$J$44,MATCH($M55,$A$32:$A$44,0)-1,MATCH(W$1,$A$1:$J$1,0)))/12+W54)</f>
        <v>11680.999999999996</v>
      </c>
    </row>
    <row r="56" spans="2:23" x14ac:dyDescent="0.2">
      <c r="L56" s="211">
        <f>'Purchased Power Model'!A57</f>
        <v>42186</v>
      </c>
      <c r="M56" s="212">
        <f>'Purchased Power Model'!B57</f>
        <v>2015</v>
      </c>
      <c r="N56" s="212">
        <f>'Purchased Power Model'!C57</f>
        <v>7</v>
      </c>
      <c r="O56" s="46" cm="1">
        <f t="array" ref="O56">IF($N56=12,INDEX($A$32:$J$44,MATCH($M56,$A$32:$A$44,0),MATCH(O$1,$A$1:$J$1,0)),(INDEX($A$32:$J$44,MATCH($M56,$A$32:$A$44,0),MATCH(O$1,$A$1:$J$1,0))-INDEX($A$32:$J$44,MATCH($M56,$A$32:$A$44,0)-1,MATCH(O$1,$A$1:$J$1,0)))/12+O55)</f>
        <v>10221.583333333338</v>
      </c>
      <c r="P56" s="46" cm="1">
        <f t="array" ref="P56">IF($N56=12,INDEX($A$32:$J$44,MATCH($M56,$A$32:$A$44,0),MATCH(P$1,$A$1:$J$1,0)),(INDEX($A$32:$J$44,MATCH($M56,$A$32:$A$44,0),MATCH(P$1,$A$1:$J$1,0))-INDEX($A$32:$J$44,MATCH($M56,$A$32:$A$44,0)-1,MATCH(P$1,$A$1:$J$1,0)))/12+P55)</f>
        <v>1220.6666666666672</v>
      </c>
      <c r="Q56" s="46" cm="1">
        <f t="array" ref="Q56">IF($N56=12,INDEX($A$32:$J$44,MATCH($M56,$A$32:$A$44,0),MATCH(Q$1,$A$1:$J$1,0)),(INDEX($A$32:$J$44,MATCH($M56,$A$32:$A$44,0),MATCH(Q$1,$A$1:$J$1,0))-INDEX($A$32:$J$44,MATCH($M56,$A$32:$A$44,0)-1,MATCH(Q$1,$A$1:$J$1,0)))/12+Q55)</f>
        <v>92.9166666666667</v>
      </c>
      <c r="R56" s="46" cm="1">
        <f t="array" ref="R56">IF($N56=12,INDEX($A$32:$J$44,MATCH($M56,$A$32:$A$44,0),MATCH(R$1,$A$1:$J$1,0)),(INDEX($A$32:$J$44,MATCH($M56,$A$32:$A$44,0),MATCH(R$1,$A$1:$J$1,0))-INDEX($A$32:$J$44,MATCH($M56,$A$32:$A$44,0)-1,MATCH(R$1,$A$1:$J$1,0)))/12+R55)</f>
        <v>2826.25</v>
      </c>
      <c r="S56" s="46" cm="1">
        <f t="array" ref="S56">IF($N56=12,INDEX($A$32:$J$44,MATCH($M56,$A$32:$A$44,0),MATCH(S$1,$A$1:$J$1,0)),(INDEX($A$32:$J$44,MATCH($M56,$A$32:$A$44,0),MATCH(S$1,$A$1:$J$1,0))-INDEX($A$32:$J$44,MATCH($M56,$A$32:$A$44,0)-1,MATCH(S$1,$A$1:$J$1,0)))/12+S55)</f>
        <v>31</v>
      </c>
      <c r="T56" s="46" cm="1">
        <f t="array" ref="T56">IF($N56=12,INDEX($A$32:$J$44,MATCH($M56,$A$32:$A$44,0),MATCH(T$1,$A$1:$J$1,0)),(INDEX($A$32:$J$44,MATCH($M56,$A$32:$A$44,0),MATCH(T$1,$A$1:$J$1,0))-INDEX($A$32:$J$44,MATCH($M56,$A$32:$A$44,0)-1,MATCH(T$1,$A$1:$J$1,0)))/12+T55)</f>
        <v>7</v>
      </c>
      <c r="U56" s="46" cm="1">
        <f t="array" ref="U56">IF($N56=12,INDEX($A$32:$J$44,MATCH($M56,$A$32:$A$44,0),MATCH(U$1,$A$1:$J$1,0)),(INDEX($A$32:$J$44,MATCH($M56,$A$32:$A$44,0),MATCH(U$1,$A$1:$J$1,0))-INDEX($A$32:$J$44,MATCH($M56,$A$32:$A$44,0)-1,MATCH(U$1,$A$1:$J$1,0)))/12+U55)</f>
        <v>5</v>
      </c>
      <c r="V56" s="46" cm="1">
        <f t="array" ref="V56">IF($N56=12,INDEX($A$32:$J$44,MATCH($M56,$A$32:$A$44,0),MATCH(V$1,$A$1:$J$1,0)),(INDEX($A$32:$J$44,MATCH($M56,$A$32:$A$44,0),MATCH(V$1,$A$1:$J$1,0))-INDEX($A$32:$J$44,MATCH($M56,$A$32:$A$44,0)-1,MATCH(V$1,$A$1:$J$1,0)))/12+V55)</f>
        <v>14404.416666666662</v>
      </c>
      <c r="W56" s="46" cm="1">
        <f t="array" ref="W56">IF($N56=12,INDEX($A$32:$J$44,MATCH($M56,$A$32:$A$44,0),MATCH(W$1,$A$1:$J$1,0)),(INDEX($A$32:$J$44,MATCH($M56,$A$32:$A$44,0),MATCH(W$1,$A$1:$J$1,0))-INDEX($A$32:$J$44,MATCH($M56,$A$32:$A$44,0)-1,MATCH(W$1,$A$1:$J$1,0)))/12+W55)</f>
        <v>11685.166666666662</v>
      </c>
    </row>
    <row r="57" spans="2:23" x14ac:dyDescent="0.2">
      <c r="L57" s="211">
        <f>'Purchased Power Model'!A58</f>
        <v>42217</v>
      </c>
      <c r="M57" s="212">
        <f>'Purchased Power Model'!B58</f>
        <v>2015</v>
      </c>
      <c r="N57" s="212">
        <f>'Purchased Power Model'!C58</f>
        <v>8</v>
      </c>
      <c r="O57" s="46" cm="1">
        <f t="array" ref="O57">IF($N57=12,INDEX($A$32:$J$44,MATCH($M57,$A$32:$A$44,0),MATCH(O$1,$A$1:$J$1,0)),(INDEX($A$32:$J$44,MATCH($M57,$A$32:$A$44,0),MATCH(O$1,$A$1:$J$1,0))-INDEX($A$32:$J$44,MATCH($M57,$A$32:$A$44,0)-1,MATCH(O$1,$A$1:$J$1,0)))/12+O56)</f>
        <v>10225.666666666672</v>
      </c>
      <c r="P57" s="46" cm="1">
        <f t="array" ref="P57">IF($N57=12,INDEX($A$32:$J$44,MATCH($M57,$A$32:$A$44,0),MATCH(P$1,$A$1:$J$1,0)),(INDEX($A$32:$J$44,MATCH($M57,$A$32:$A$44,0),MATCH(P$1,$A$1:$J$1,0))-INDEX($A$32:$J$44,MATCH($M57,$A$32:$A$44,0)-1,MATCH(P$1,$A$1:$J$1,0)))/12+P56)</f>
        <v>1220.3333333333339</v>
      </c>
      <c r="Q57" s="46" cm="1">
        <f t="array" ref="Q57">IF($N57=12,INDEX($A$32:$J$44,MATCH($M57,$A$32:$A$44,0),MATCH(Q$1,$A$1:$J$1,0)),(INDEX($A$32:$J$44,MATCH($M57,$A$32:$A$44,0),MATCH(Q$1,$A$1:$J$1,0))-INDEX($A$32:$J$44,MATCH($M57,$A$32:$A$44,0)-1,MATCH(Q$1,$A$1:$J$1,0)))/12+Q56)</f>
        <v>93.333333333333371</v>
      </c>
      <c r="R57" s="46" cm="1">
        <f t="array" ref="R57">IF($N57=12,INDEX($A$32:$J$44,MATCH($M57,$A$32:$A$44,0),MATCH(R$1,$A$1:$J$1,0)),(INDEX($A$32:$J$44,MATCH($M57,$A$32:$A$44,0),MATCH(R$1,$A$1:$J$1,0))-INDEX($A$32:$J$44,MATCH($M57,$A$32:$A$44,0)-1,MATCH(R$1,$A$1:$J$1,0)))/12+R56)</f>
        <v>2827</v>
      </c>
      <c r="S57" s="46" cm="1">
        <f t="array" ref="S57">IF($N57=12,INDEX($A$32:$J$44,MATCH($M57,$A$32:$A$44,0),MATCH(S$1,$A$1:$J$1,0)),(INDEX($A$32:$J$44,MATCH($M57,$A$32:$A$44,0),MATCH(S$1,$A$1:$J$1,0))-INDEX($A$32:$J$44,MATCH($M57,$A$32:$A$44,0)-1,MATCH(S$1,$A$1:$J$1,0)))/12+S56)</f>
        <v>31</v>
      </c>
      <c r="T57" s="46" cm="1">
        <f t="array" ref="T57">IF($N57=12,INDEX($A$32:$J$44,MATCH($M57,$A$32:$A$44,0),MATCH(T$1,$A$1:$J$1,0)),(INDEX($A$32:$J$44,MATCH($M57,$A$32:$A$44,0),MATCH(T$1,$A$1:$J$1,0))-INDEX($A$32:$J$44,MATCH($M57,$A$32:$A$44,0)-1,MATCH(T$1,$A$1:$J$1,0)))/12+T56)</f>
        <v>7</v>
      </c>
      <c r="U57" s="46" cm="1">
        <f t="array" ref="U57">IF($N57=12,INDEX($A$32:$J$44,MATCH($M57,$A$32:$A$44,0),MATCH(U$1,$A$1:$J$1,0)),(INDEX($A$32:$J$44,MATCH($M57,$A$32:$A$44,0),MATCH(U$1,$A$1:$J$1,0))-INDEX($A$32:$J$44,MATCH($M57,$A$32:$A$44,0)-1,MATCH(U$1,$A$1:$J$1,0)))/12+U56)</f>
        <v>5</v>
      </c>
      <c r="V57" s="46" cm="1">
        <f t="array" ref="V57">IF($N57=12,INDEX($A$32:$J$44,MATCH($M57,$A$32:$A$44,0),MATCH(V$1,$A$1:$J$1,0)),(INDEX($A$32:$J$44,MATCH($M57,$A$32:$A$44,0),MATCH(V$1,$A$1:$J$1,0))-INDEX($A$32:$J$44,MATCH($M57,$A$32:$A$44,0)-1,MATCH(V$1,$A$1:$J$1,0)))/12+V56)</f>
        <v>14409.333333333328</v>
      </c>
      <c r="W57" s="46" cm="1">
        <f t="array" ref="W57">IF($N57=12,INDEX($A$32:$J$44,MATCH($M57,$A$32:$A$44,0),MATCH(W$1,$A$1:$J$1,0)),(INDEX($A$32:$J$44,MATCH($M57,$A$32:$A$44,0),MATCH(W$1,$A$1:$J$1,0))-INDEX($A$32:$J$44,MATCH($M57,$A$32:$A$44,0)-1,MATCH(W$1,$A$1:$J$1,0)))/12+W56)</f>
        <v>11689.333333333328</v>
      </c>
    </row>
    <row r="58" spans="2:23" x14ac:dyDescent="0.2">
      <c r="L58" s="211">
        <f>'Purchased Power Model'!A59</f>
        <v>42248</v>
      </c>
      <c r="M58" s="212">
        <f>'Purchased Power Model'!B59</f>
        <v>2015</v>
      </c>
      <c r="N58" s="212">
        <f>'Purchased Power Model'!C59</f>
        <v>9</v>
      </c>
      <c r="O58" s="46" cm="1">
        <f t="array" ref="O58">IF($N58=12,INDEX($A$32:$J$44,MATCH($M58,$A$32:$A$44,0),MATCH(O$1,$A$1:$J$1,0)),(INDEX($A$32:$J$44,MATCH($M58,$A$32:$A$44,0),MATCH(O$1,$A$1:$J$1,0))-INDEX($A$32:$J$44,MATCH($M58,$A$32:$A$44,0)-1,MATCH(O$1,$A$1:$J$1,0)))/12+O57)</f>
        <v>10229.750000000005</v>
      </c>
      <c r="P58" s="46" cm="1">
        <f t="array" ref="P58">IF($N58=12,INDEX($A$32:$J$44,MATCH($M58,$A$32:$A$44,0),MATCH(P$1,$A$1:$J$1,0)),(INDEX($A$32:$J$44,MATCH($M58,$A$32:$A$44,0),MATCH(P$1,$A$1:$J$1,0))-INDEX($A$32:$J$44,MATCH($M58,$A$32:$A$44,0)-1,MATCH(P$1,$A$1:$J$1,0)))/12+P57)</f>
        <v>1220.0000000000007</v>
      </c>
      <c r="Q58" s="46" cm="1">
        <f t="array" ref="Q58">IF($N58=12,INDEX($A$32:$J$44,MATCH($M58,$A$32:$A$44,0),MATCH(Q$1,$A$1:$J$1,0)),(INDEX($A$32:$J$44,MATCH($M58,$A$32:$A$44,0),MATCH(Q$1,$A$1:$J$1,0))-INDEX($A$32:$J$44,MATCH($M58,$A$32:$A$44,0)-1,MATCH(Q$1,$A$1:$J$1,0)))/12+Q57)</f>
        <v>93.750000000000043</v>
      </c>
      <c r="R58" s="46" cm="1">
        <f t="array" ref="R58">IF($N58=12,INDEX($A$32:$J$44,MATCH($M58,$A$32:$A$44,0),MATCH(R$1,$A$1:$J$1,0)),(INDEX($A$32:$J$44,MATCH($M58,$A$32:$A$44,0),MATCH(R$1,$A$1:$J$1,0))-INDEX($A$32:$J$44,MATCH($M58,$A$32:$A$44,0)-1,MATCH(R$1,$A$1:$J$1,0)))/12+R57)</f>
        <v>2827.75</v>
      </c>
      <c r="S58" s="46" cm="1">
        <f t="array" ref="S58">IF($N58=12,INDEX($A$32:$J$44,MATCH($M58,$A$32:$A$44,0),MATCH(S$1,$A$1:$J$1,0)),(INDEX($A$32:$J$44,MATCH($M58,$A$32:$A$44,0),MATCH(S$1,$A$1:$J$1,0))-INDEX($A$32:$J$44,MATCH($M58,$A$32:$A$44,0)-1,MATCH(S$1,$A$1:$J$1,0)))/12+S57)</f>
        <v>31</v>
      </c>
      <c r="T58" s="46" cm="1">
        <f t="array" ref="T58">IF($N58=12,INDEX($A$32:$J$44,MATCH($M58,$A$32:$A$44,0),MATCH(T$1,$A$1:$J$1,0)),(INDEX($A$32:$J$44,MATCH($M58,$A$32:$A$44,0),MATCH(T$1,$A$1:$J$1,0))-INDEX($A$32:$J$44,MATCH($M58,$A$32:$A$44,0)-1,MATCH(T$1,$A$1:$J$1,0)))/12+T57)</f>
        <v>7</v>
      </c>
      <c r="U58" s="46" cm="1">
        <f t="array" ref="U58">IF($N58=12,INDEX($A$32:$J$44,MATCH($M58,$A$32:$A$44,0),MATCH(U$1,$A$1:$J$1,0)),(INDEX($A$32:$J$44,MATCH($M58,$A$32:$A$44,0),MATCH(U$1,$A$1:$J$1,0))-INDEX($A$32:$J$44,MATCH($M58,$A$32:$A$44,0)-1,MATCH(U$1,$A$1:$J$1,0)))/12+U57)</f>
        <v>5</v>
      </c>
      <c r="V58" s="46" cm="1">
        <f t="array" ref="V58">IF($N58=12,INDEX($A$32:$J$44,MATCH($M58,$A$32:$A$44,0),MATCH(V$1,$A$1:$J$1,0)),(INDEX($A$32:$J$44,MATCH($M58,$A$32:$A$44,0),MATCH(V$1,$A$1:$J$1,0))-INDEX($A$32:$J$44,MATCH($M58,$A$32:$A$44,0)-1,MATCH(V$1,$A$1:$J$1,0)))/12+V57)</f>
        <v>14414.249999999995</v>
      </c>
      <c r="W58" s="46" cm="1">
        <f t="array" ref="W58">IF($N58=12,INDEX($A$32:$J$44,MATCH($M58,$A$32:$A$44,0),MATCH(W$1,$A$1:$J$1,0)),(INDEX($A$32:$J$44,MATCH($M58,$A$32:$A$44,0),MATCH(W$1,$A$1:$J$1,0))-INDEX($A$32:$J$44,MATCH($M58,$A$32:$A$44,0)-1,MATCH(W$1,$A$1:$J$1,0)))/12+W57)</f>
        <v>11693.499999999995</v>
      </c>
    </row>
    <row r="59" spans="2:23" x14ac:dyDescent="0.2">
      <c r="L59" s="211">
        <f>'Purchased Power Model'!A60</f>
        <v>42278</v>
      </c>
      <c r="M59" s="212">
        <f>'Purchased Power Model'!B60</f>
        <v>2015</v>
      </c>
      <c r="N59" s="212">
        <f>'Purchased Power Model'!C60</f>
        <v>10</v>
      </c>
      <c r="O59" s="46" cm="1">
        <f t="array" ref="O59">IF($N59=12,INDEX($A$32:$J$44,MATCH($M59,$A$32:$A$44,0),MATCH(O$1,$A$1:$J$1,0)),(INDEX($A$32:$J$44,MATCH($M59,$A$32:$A$44,0),MATCH(O$1,$A$1:$J$1,0))-INDEX($A$32:$J$44,MATCH($M59,$A$32:$A$44,0)-1,MATCH(O$1,$A$1:$J$1,0)))/12+O58)</f>
        <v>10233.833333333339</v>
      </c>
      <c r="P59" s="46" cm="1">
        <f t="array" ref="P59">IF($N59=12,INDEX($A$32:$J$44,MATCH($M59,$A$32:$A$44,0),MATCH(P$1,$A$1:$J$1,0)),(INDEX($A$32:$J$44,MATCH($M59,$A$32:$A$44,0),MATCH(P$1,$A$1:$J$1,0))-INDEX($A$32:$J$44,MATCH($M59,$A$32:$A$44,0)-1,MATCH(P$1,$A$1:$J$1,0)))/12+P58)</f>
        <v>1219.6666666666674</v>
      </c>
      <c r="Q59" s="46" cm="1">
        <f t="array" ref="Q59">IF($N59=12,INDEX($A$32:$J$44,MATCH($M59,$A$32:$A$44,0),MATCH(Q$1,$A$1:$J$1,0)),(INDEX($A$32:$J$44,MATCH($M59,$A$32:$A$44,0),MATCH(Q$1,$A$1:$J$1,0))-INDEX($A$32:$J$44,MATCH($M59,$A$32:$A$44,0)-1,MATCH(Q$1,$A$1:$J$1,0)))/12+Q58)</f>
        <v>94.166666666666714</v>
      </c>
      <c r="R59" s="46" cm="1">
        <f t="array" ref="R59">IF($N59=12,INDEX($A$32:$J$44,MATCH($M59,$A$32:$A$44,0),MATCH(R$1,$A$1:$J$1,0)),(INDEX($A$32:$J$44,MATCH($M59,$A$32:$A$44,0),MATCH(R$1,$A$1:$J$1,0))-INDEX($A$32:$J$44,MATCH($M59,$A$32:$A$44,0)-1,MATCH(R$1,$A$1:$J$1,0)))/12+R58)</f>
        <v>2828.5</v>
      </c>
      <c r="S59" s="46" cm="1">
        <f t="array" ref="S59">IF($N59=12,INDEX($A$32:$J$44,MATCH($M59,$A$32:$A$44,0),MATCH(S$1,$A$1:$J$1,0)),(INDEX($A$32:$J$44,MATCH($M59,$A$32:$A$44,0),MATCH(S$1,$A$1:$J$1,0))-INDEX($A$32:$J$44,MATCH($M59,$A$32:$A$44,0)-1,MATCH(S$1,$A$1:$J$1,0)))/12+S58)</f>
        <v>31</v>
      </c>
      <c r="T59" s="46" cm="1">
        <f t="array" ref="T59">IF($N59=12,INDEX($A$32:$J$44,MATCH($M59,$A$32:$A$44,0),MATCH(T$1,$A$1:$J$1,0)),(INDEX($A$32:$J$44,MATCH($M59,$A$32:$A$44,0),MATCH(T$1,$A$1:$J$1,0))-INDEX($A$32:$J$44,MATCH($M59,$A$32:$A$44,0)-1,MATCH(T$1,$A$1:$J$1,0)))/12+T58)</f>
        <v>7</v>
      </c>
      <c r="U59" s="46" cm="1">
        <f t="array" ref="U59">IF($N59=12,INDEX($A$32:$J$44,MATCH($M59,$A$32:$A$44,0),MATCH(U$1,$A$1:$J$1,0)),(INDEX($A$32:$J$44,MATCH($M59,$A$32:$A$44,0),MATCH(U$1,$A$1:$J$1,0))-INDEX($A$32:$J$44,MATCH($M59,$A$32:$A$44,0)-1,MATCH(U$1,$A$1:$J$1,0)))/12+U58)</f>
        <v>5</v>
      </c>
      <c r="V59" s="46" cm="1">
        <f t="array" ref="V59">IF($N59=12,INDEX($A$32:$J$44,MATCH($M59,$A$32:$A$44,0),MATCH(V$1,$A$1:$J$1,0)),(INDEX($A$32:$J$44,MATCH($M59,$A$32:$A$44,0),MATCH(V$1,$A$1:$J$1,0))-INDEX($A$32:$J$44,MATCH($M59,$A$32:$A$44,0)-1,MATCH(V$1,$A$1:$J$1,0)))/12+V58)</f>
        <v>14419.166666666661</v>
      </c>
      <c r="W59" s="46" cm="1">
        <f t="array" ref="W59">IF($N59=12,INDEX($A$32:$J$44,MATCH($M59,$A$32:$A$44,0),MATCH(W$1,$A$1:$J$1,0)),(INDEX($A$32:$J$44,MATCH($M59,$A$32:$A$44,0),MATCH(W$1,$A$1:$J$1,0))-INDEX($A$32:$J$44,MATCH($M59,$A$32:$A$44,0)-1,MATCH(W$1,$A$1:$J$1,0)))/12+W58)</f>
        <v>11697.666666666661</v>
      </c>
    </row>
    <row r="60" spans="2:23" x14ac:dyDescent="0.2">
      <c r="L60" s="211">
        <f>'Purchased Power Model'!A61</f>
        <v>42309</v>
      </c>
      <c r="M60" s="212">
        <f>'Purchased Power Model'!B61</f>
        <v>2015</v>
      </c>
      <c r="N60" s="212">
        <f>'Purchased Power Model'!C61</f>
        <v>11</v>
      </c>
      <c r="O60" s="46" cm="1">
        <f t="array" ref="O60">IF($N60=12,INDEX($A$32:$J$44,MATCH($M60,$A$32:$A$44,0),MATCH(O$1,$A$1:$J$1,0)),(INDEX($A$32:$J$44,MATCH($M60,$A$32:$A$44,0),MATCH(O$1,$A$1:$J$1,0))-INDEX($A$32:$J$44,MATCH($M60,$A$32:$A$44,0)-1,MATCH(O$1,$A$1:$J$1,0)))/12+O59)</f>
        <v>10237.916666666673</v>
      </c>
      <c r="P60" s="46" cm="1">
        <f t="array" ref="P60">IF($N60=12,INDEX($A$32:$J$44,MATCH($M60,$A$32:$A$44,0),MATCH(P$1,$A$1:$J$1,0)),(INDEX($A$32:$J$44,MATCH($M60,$A$32:$A$44,0),MATCH(P$1,$A$1:$J$1,0))-INDEX($A$32:$J$44,MATCH($M60,$A$32:$A$44,0)-1,MATCH(P$1,$A$1:$J$1,0)))/12+P59)</f>
        <v>1219.3333333333342</v>
      </c>
      <c r="Q60" s="46" cm="1">
        <f t="array" ref="Q60">IF($N60=12,INDEX($A$32:$J$44,MATCH($M60,$A$32:$A$44,0),MATCH(Q$1,$A$1:$J$1,0)),(INDEX($A$32:$J$44,MATCH($M60,$A$32:$A$44,0),MATCH(Q$1,$A$1:$J$1,0))-INDEX($A$32:$J$44,MATCH($M60,$A$32:$A$44,0)-1,MATCH(Q$1,$A$1:$J$1,0)))/12+Q59)</f>
        <v>94.583333333333385</v>
      </c>
      <c r="R60" s="46" cm="1">
        <f t="array" ref="R60">IF($N60=12,INDEX($A$32:$J$44,MATCH($M60,$A$32:$A$44,0),MATCH(R$1,$A$1:$J$1,0)),(INDEX($A$32:$J$44,MATCH($M60,$A$32:$A$44,0),MATCH(R$1,$A$1:$J$1,0))-INDEX($A$32:$J$44,MATCH($M60,$A$32:$A$44,0)-1,MATCH(R$1,$A$1:$J$1,0)))/12+R59)</f>
        <v>2829.25</v>
      </c>
      <c r="S60" s="46" cm="1">
        <f t="array" ref="S60">IF($N60=12,INDEX($A$32:$J$44,MATCH($M60,$A$32:$A$44,0),MATCH(S$1,$A$1:$J$1,0)),(INDEX($A$32:$J$44,MATCH($M60,$A$32:$A$44,0),MATCH(S$1,$A$1:$J$1,0))-INDEX($A$32:$J$44,MATCH($M60,$A$32:$A$44,0)-1,MATCH(S$1,$A$1:$J$1,0)))/12+S59)</f>
        <v>31</v>
      </c>
      <c r="T60" s="46" cm="1">
        <f t="array" ref="T60">IF($N60=12,INDEX($A$32:$J$44,MATCH($M60,$A$32:$A$44,0),MATCH(T$1,$A$1:$J$1,0)),(INDEX($A$32:$J$44,MATCH($M60,$A$32:$A$44,0),MATCH(T$1,$A$1:$J$1,0))-INDEX($A$32:$J$44,MATCH($M60,$A$32:$A$44,0)-1,MATCH(T$1,$A$1:$J$1,0)))/12+T59)</f>
        <v>7</v>
      </c>
      <c r="U60" s="46" cm="1">
        <f t="array" ref="U60">IF($N60=12,INDEX($A$32:$J$44,MATCH($M60,$A$32:$A$44,0),MATCH(U$1,$A$1:$J$1,0)),(INDEX($A$32:$J$44,MATCH($M60,$A$32:$A$44,0),MATCH(U$1,$A$1:$J$1,0))-INDEX($A$32:$J$44,MATCH($M60,$A$32:$A$44,0)-1,MATCH(U$1,$A$1:$J$1,0)))/12+U59)</f>
        <v>5</v>
      </c>
      <c r="V60" s="46" cm="1">
        <f t="array" ref="V60">IF($N60=12,INDEX($A$32:$J$44,MATCH($M60,$A$32:$A$44,0),MATCH(V$1,$A$1:$J$1,0)),(INDEX($A$32:$J$44,MATCH($M60,$A$32:$A$44,0),MATCH(V$1,$A$1:$J$1,0))-INDEX($A$32:$J$44,MATCH($M60,$A$32:$A$44,0)-1,MATCH(V$1,$A$1:$J$1,0)))/12+V59)</f>
        <v>14424.083333333327</v>
      </c>
      <c r="W60" s="46" cm="1">
        <f t="array" ref="W60">IF($N60=12,INDEX($A$32:$J$44,MATCH($M60,$A$32:$A$44,0),MATCH(W$1,$A$1:$J$1,0)),(INDEX($A$32:$J$44,MATCH($M60,$A$32:$A$44,0),MATCH(W$1,$A$1:$J$1,0))-INDEX($A$32:$J$44,MATCH($M60,$A$32:$A$44,0)-1,MATCH(W$1,$A$1:$J$1,0)))/12+W59)</f>
        <v>11701.833333333327</v>
      </c>
    </row>
    <row r="61" spans="2:23" x14ac:dyDescent="0.2">
      <c r="D61" s="19"/>
      <c r="E61" s="19"/>
      <c r="F61" s="19"/>
      <c r="L61" s="211">
        <f>'Purchased Power Model'!A62</f>
        <v>42339</v>
      </c>
      <c r="M61" s="212">
        <f>'Purchased Power Model'!B62</f>
        <v>2015</v>
      </c>
      <c r="N61" s="212">
        <f>'Purchased Power Model'!C62</f>
        <v>12</v>
      </c>
      <c r="O61" s="46" cm="1">
        <f t="array" ref="O61">IF($N61=12,INDEX($A$32:$J$44,MATCH($M61,$A$32:$A$44,0),MATCH(O$1,$A$1:$J$1,0)),(INDEX($A$32:$J$44,MATCH($M61,$A$32:$A$44,0),MATCH(O$1,$A$1:$J$1,0))-INDEX($A$32:$J$44,MATCH($M61,$A$32:$A$44,0)-1,MATCH(O$1,$A$1:$J$1,0)))/12+O60)</f>
        <v>10242</v>
      </c>
      <c r="P61" s="46" cm="1">
        <f t="array" ref="P61">IF($N61=12,INDEX($A$32:$J$44,MATCH($M61,$A$32:$A$44,0),MATCH(P$1,$A$1:$J$1,0)),(INDEX($A$32:$J$44,MATCH($M61,$A$32:$A$44,0),MATCH(P$1,$A$1:$J$1,0))-INDEX($A$32:$J$44,MATCH($M61,$A$32:$A$44,0)-1,MATCH(P$1,$A$1:$J$1,0)))/12+P60)</f>
        <v>1219</v>
      </c>
      <c r="Q61" s="46" cm="1">
        <f t="array" ref="Q61">IF($N61=12,INDEX($A$32:$J$44,MATCH($M61,$A$32:$A$44,0),MATCH(Q$1,$A$1:$J$1,0)),(INDEX($A$32:$J$44,MATCH($M61,$A$32:$A$44,0),MATCH(Q$1,$A$1:$J$1,0))-INDEX($A$32:$J$44,MATCH($M61,$A$32:$A$44,0)-1,MATCH(Q$1,$A$1:$J$1,0)))/12+Q60)</f>
        <v>95</v>
      </c>
      <c r="R61" s="46" cm="1">
        <f t="array" ref="R61">IF($N61=12,INDEX($A$32:$J$44,MATCH($M61,$A$32:$A$44,0),MATCH(R$1,$A$1:$J$1,0)),(INDEX($A$32:$J$44,MATCH($M61,$A$32:$A$44,0),MATCH(R$1,$A$1:$J$1,0))-INDEX($A$32:$J$44,MATCH($M61,$A$32:$A$44,0)-1,MATCH(R$1,$A$1:$J$1,0)))/12+R60)</f>
        <v>2830</v>
      </c>
      <c r="S61" s="46" cm="1">
        <f t="array" ref="S61">IF($N61=12,INDEX($A$32:$J$44,MATCH($M61,$A$32:$A$44,0),MATCH(S$1,$A$1:$J$1,0)),(INDEX($A$32:$J$44,MATCH($M61,$A$32:$A$44,0),MATCH(S$1,$A$1:$J$1,0))-INDEX($A$32:$J$44,MATCH($M61,$A$32:$A$44,0)-1,MATCH(S$1,$A$1:$J$1,0)))/12+S60)</f>
        <v>31</v>
      </c>
      <c r="T61" s="46" cm="1">
        <f t="array" ref="T61">IF($N61=12,INDEX($A$32:$J$44,MATCH($M61,$A$32:$A$44,0),MATCH(T$1,$A$1:$J$1,0)),(INDEX($A$32:$J$44,MATCH($M61,$A$32:$A$44,0),MATCH(T$1,$A$1:$J$1,0))-INDEX($A$32:$J$44,MATCH($M61,$A$32:$A$44,0)-1,MATCH(T$1,$A$1:$J$1,0)))/12+T60)</f>
        <v>7</v>
      </c>
      <c r="U61" s="46" cm="1">
        <f t="array" ref="U61">IF($N61=12,INDEX($A$32:$J$44,MATCH($M61,$A$32:$A$44,0),MATCH(U$1,$A$1:$J$1,0)),(INDEX($A$32:$J$44,MATCH($M61,$A$32:$A$44,0),MATCH(U$1,$A$1:$J$1,0))-INDEX($A$32:$J$44,MATCH($M61,$A$32:$A$44,0)-1,MATCH(U$1,$A$1:$J$1,0)))/12+U60)</f>
        <v>5</v>
      </c>
      <c r="V61" s="46" cm="1">
        <f t="array" ref="V61">IF($N61=12,INDEX($A$32:$J$44,MATCH($M61,$A$32:$A$44,0),MATCH(V$1,$A$1:$J$1,0)),(INDEX($A$32:$J$44,MATCH($M61,$A$32:$A$44,0),MATCH(V$1,$A$1:$J$1,0))-INDEX($A$32:$J$44,MATCH($M61,$A$32:$A$44,0)-1,MATCH(V$1,$A$1:$J$1,0)))/12+V60)</f>
        <v>14429</v>
      </c>
      <c r="W61" s="46" cm="1">
        <f t="array" ref="W61">IF($N61=12,INDEX($A$32:$J$44,MATCH($M61,$A$32:$A$44,0),MATCH(W$1,$A$1:$J$1,0)),(INDEX($A$32:$J$44,MATCH($M61,$A$32:$A$44,0),MATCH(W$1,$A$1:$J$1,0))-INDEX($A$32:$J$44,MATCH($M61,$A$32:$A$44,0)-1,MATCH(W$1,$A$1:$J$1,0)))/12+W60)</f>
        <v>11706</v>
      </c>
    </row>
    <row r="62" spans="2:23" x14ac:dyDescent="0.2">
      <c r="B62" s="19"/>
      <c r="C62" s="19"/>
      <c r="D62" s="19"/>
      <c r="E62" s="19"/>
      <c r="F62" s="19"/>
      <c r="G62" s="19"/>
      <c r="H62" s="19"/>
      <c r="L62" s="211">
        <f>'Purchased Power Model'!A63</f>
        <v>42370</v>
      </c>
      <c r="M62" s="212">
        <f>'Purchased Power Model'!B63</f>
        <v>2016</v>
      </c>
      <c r="N62" s="212">
        <f>'Purchased Power Model'!C63</f>
        <v>1</v>
      </c>
      <c r="O62" s="46" cm="1">
        <f t="array" ref="O62">IF($N62=12,INDEX($A$32:$J$44,MATCH($M62,$A$32:$A$44,0),MATCH(O$1,$A$1:$J$1,0)),(INDEX($A$32:$J$44,MATCH($M62,$A$32:$A$44,0),MATCH(O$1,$A$1:$J$1,0))-INDEX($A$32:$J$44,MATCH($M62,$A$32:$A$44,0)-1,MATCH(O$1,$A$1:$J$1,0)))/12+O61)</f>
        <v>10247.833333333334</v>
      </c>
      <c r="P62" s="46" cm="1">
        <f t="array" ref="P62">IF($N62=12,INDEX($A$32:$J$44,MATCH($M62,$A$32:$A$44,0),MATCH(P$1,$A$1:$J$1,0)),(INDEX($A$32:$J$44,MATCH($M62,$A$32:$A$44,0),MATCH(P$1,$A$1:$J$1,0))-INDEX($A$32:$J$44,MATCH($M62,$A$32:$A$44,0)-1,MATCH(P$1,$A$1:$J$1,0)))/12+P61)</f>
        <v>1220.4166666666667</v>
      </c>
      <c r="Q62" s="46" cm="1">
        <f t="array" ref="Q62">IF($N62=12,INDEX($A$32:$J$44,MATCH($M62,$A$32:$A$44,0),MATCH(Q$1,$A$1:$J$1,0)),(INDEX($A$32:$J$44,MATCH($M62,$A$32:$A$44,0),MATCH(Q$1,$A$1:$J$1,0))-INDEX($A$32:$J$44,MATCH($M62,$A$32:$A$44,0)-1,MATCH(Q$1,$A$1:$J$1,0)))/12+Q61)</f>
        <v>94.833333333333329</v>
      </c>
      <c r="R62" s="46" cm="1">
        <f t="array" ref="R62">IF($N62=12,INDEX($A$32:$J$44,MATCH($M62,$A$32:$A$44,0),MATCH(R$1,$A$1:$J$1,0)),(INDEX($A$32:$J$44,MATCH($M62,$A$32:$A$44,0),MATCH(R$1,$A$1:$J$1,0))-INDEX($A$32:$J$44,MATCH($M62,$A$32:$A$44,0)-1,MATCH(R$1,$A$1:$J$1,0)))/12+R61)</f>
        <v>2838.5</v>
      </c>
      <c r="S62" s="46" cm="1">
        <f t="array" ref="S62">IF($N62=12,INDEX($A$32:$J$44,MATCH($M62,$A$32:$A$44,0),MATCH(S$1,$A$1:$J$1,0)),(INDEX($A$32:$J$44,MATCH($M62,$A$32:$A$44,0),MATCH(S$1,$A$1:$J$1,0))-INDEX($A$32:$J$44,MATCH($M62,$A$32:$A$44,0)-1,MATCH(S$1,$A$1:$J$1,0)))/12+S61)</f>
        <v>30.916666666666668</v>
      </c>
      <c r="T62" s="46" cm="1">
        <f t="array" ref="T62">IF($N62=12,INDEX($A$32:$J$44,MATCH($M62,$A$32:$A$44,0),MATCH(T$1,$A$1:$J$1,0)),(INDEX($A$32:$J$44,MATCH($M62,$A$32:$A$44,0),MATCH(T$1,$A$1:$J$1,0))-INDEX($A$32:$J$44,MATCH($M62,$A$32:$A$44,0)-1,MATCH(T$1,$A$1:$J$1,0)))/12+T61)</f>
        <v>7.666666666666667</v>
      </c>
      <c r="U62" s="46" cm="1">
        <f t="array" ref="U62">IF($N62=12,INDEX($A$32:$J$44,MATCH($M62,$A$32:$A$44,0),MATCH(U$1,$A$1:$J$1,0)),(INDEX($A$32:$J$44,MATCH($M62,$A$32:$A$44,0),MATCH(U$1,$A$1:$J$1,0))-INDEX($A$32:$J$44,MATCH($M62,$A$32:$A$44,0)-1,MATCH(U$1,$A$1:$J$1,0)))/12+U61)</f>
        <v>5.083333333333333</v>
      </c>
      <c r="V62" s="46" cm="1">
        <f t="array" ref="V62">IF($N62=12,INDEX($A$32:$J$44,MATCH($M62,$A$32:$A$44,0),MATCH(V$1,$A$1:$J$1,0)),(INDEX($A$32:$J$44,MATCH($M62,$A$32:$A$44,0),MATCH(V$1,$A$1:$J$1,0))-INDEX($A$32:$J$44,MATCH($M62,$A$32:$A$44,0)-1,MATCH(V$1,$A$1:$J$1,0)))/12+V61)</f>
        <v>14445.25</v>
      </c>
      <c r="W62" s="46" cm="1">
        <f t="array" ref="W62">IF($N62=12,INDEX($A$32:$J$44,MATCH($M62,$A$32:$A$44,0),MATCH(W$1,$A$1:$J$1,0)),(INDEX($A$32:$J$44,MATCH($M62,$A$32:$A$44,0),MATCH(W$1,$A$1:$J$1,0))-INDEX($A$32:$J$44,MATCH($M62,$A$32:$A$44,0)-1,MATCH(W$1,$A$1:$J$1,0)))/12+W61)</f>
        <v>11713.166666666666</v>
      </c>
    </row>
    <row r="63" spans="2:23" x14ac:dyDescent="0.2">
      <c r="B63" s="19"/>
      <c r="C63" s="19"/>
      <c r="G63" s="19"/>
      <c r="H63" s="19"/>
      <c r="L63" s="211">
        <f>'Purchased Power Model'!A64</f>
        <v>42401</v>
      </c>
      <c r="M63" s="212">
        <f>'Purchased Power Model'!B64</f>
        <v>2016</v>
      </c>
      <c r="N63" s="212">
        <f>'Purchased Power Model'!C64</f>
        <v>2</v>
      </c>
      <c r="O63" s="46" cm="1">
        <f t="array" ref="O63">IF($N63=12,INDEX($A$32:$J$44,MATCH($M63,$A$32:$A$44,0),MATCH(O$1,$A$1:$J$1,0)),(INDEX($A$32:$J$44,MATCH($M63,$A$32:$A$44,0),MATCH(O$1,$A$1:$J$1,0))-INDEX($A$32:$J$44,MATCH($M63,$A$32:$A$44,0)-1,MATCH(O$1,$A$1:$J$1,0)))/12+O62)</f>
        <v>10253.666666666668</v>
      </c>
      <c r="P63" s="46" cm="1">
        <f t="array" ref="P63">IF($N63=12,INDEX($A$32:$J$44,MATCH($M63,$A$32:$A$44,0),MATCH(P$1,$A$1:$J$1,0)),(INDEX($A$32:$J$44,MATCH($M63,$A$32:$A$44,0),MATCH(P$1,$A$1:$J$1,0))-INDEX($A$32:$J$44,MATCH($M63,$A$32:$A$44,0)-1,MATCH(P$1,$A$1:$J$1,0)))/12+P62)</f>
        <v>1221.8333333333335</v>
      </c>
      <c r="Q63" s="46" cm="1">
        <f t="array" ref="Q63">IF($N63=12,INDEX($A$32:$J$44,MATCH($M63,$A$32:$A$44,0),MATCH(Q$1,$A$1:$J$1,0)),(INDEX($A$32:$J$44,MATCH($M63,$A$32:$A$44,0),MATCH(Q$1,$A$1:$J$1,0))-INDEX($A$32:$J$44,MATCH($M63,$A$32:$A$44,0)-1,MATCH(Q$1,$A$1:$J$1,0)))/12+Q62)</f>
        <v>94.666666666666657</v>
      </c>
      <c r="R63" s="46" cm="1">
        <f t="array" ref="R63">IF($N63=12,INDEX($A$32:$J$44,MATCH($M63,$A$32:$A$44,0),MATCH(R$1,$A$1:$J$1,0)),(INDEX($A$32:$J$44,MATCH($M63,$A$32:$A$44,0),MATCH(R$1,$A$1:$J$1,0))-INDEX($A$32:$J$44,MATCH($M63,$A$32:$A$44,0)-1,MATCH(R$1,$A$1:$J$1,0)))/12+R62)</f>
        <v>2847</v>
      </c>
      <c r="S63" s="46" cm="1">
        <f t="array" ref="S63">IF($N63=12,INDEX($A$32:$J$44,MATCH($M63,$A$32:$A$44,0),MATCH(S$1,$A$1:$J$1,0)),(INDEX($A$32:$J$44,MATCH($M63,$A$32:$A$44,0),MATCH(S$1,$A$1:$J$1,0))-INDEX($A$32:$J$44,MATCH($M63,$A$32:$A$44,0)-1,MATCH(S$1,$A$1:$J$1,0)))/12+S62)</f>
        <v>30.833333333333336</v>
      </c>
      <c r="T63" s="46" cm="1">
        <f t="array" ref="T63">IF($N63=12,INDEX($A$32:$J$44,MATCH($M63,$A$32:$A$44,0),MATCH(T$1,$A$1:$J$1,0)),(INDEX($A$32:$J$44,MATCH($M63,$A$32:$A$44,0),MATCH(T$1,$A$1:$J$1,0))-INDEX($A$32:$J$44,MATCH($M63,$A$32:$A$44,0)-1,MATCH(T$1,$A$1:$J$1,0)))/12+T62)</f>
        <v>8.3333333333333339</v>
      </c>
      <c r="U63" s="46" cm="1">
        <f t="array" ref="U63">IF($N63=12,INDEX($A$32:$J$44,MATCH($M63,$A$32:$A$44,0),MATCH(U$1,$A$1:$J$1,0)),(INDEX($A$32:$J$44,MATCH($M63,$A$32:$A$44,0),MATCH(U$1,$A$1:$J$1,0))-INDEX($A$32:$J$44,MATCH($M63,$A$32:$A$44,0)-1,MATCH(U$1,$A$1:$J$1,0)))/12+U62)</f>
        <v>5.1666666666666661</v>
      </c>
      <c r="V63" s="46" cm="1">
        <f t="array" ref="V63">IF($N63=12,INDEX($A$32:$J$44,MATCH($M63,$A$32:$A$44,0),MATCH(V$1,$A$1:$J$1,0)),(INDEX($A$32:$J$44,MATCH($M63,$A$32:$A$44,0),MATCH(V$1,$A$1:$J$1,0))-INDEX($A$32:$J$44,MATCH($M63,$A$32:$A$44,0)-1,MATCH(V$1,$A$1:$J$1,0)))/12+V62)</f>
        <v>14461.5</v>
      </c>
      <c r="W63" s="46" cm="1">
        <f t="array" ref="W63">IF($N63=12,INDEX($A$32:$J$44,MATCH($M63,$A$32:$A$44,0),MATCH(W$1,$A$1:$J$1,0)),(INDEX($A$32:$J$44,MATCH($M63,$A$32:$A$44,0),MATCH(W$1,$A$1:$J$1,0))-INDEX($A$32:$J$44,MATCH($M63,$A$32:$A$44,0)-1,MATCH(W$1,$A$1:$J$1,0)))/12+W62)</f>
        <v>11720.333333333332</v>
      </c>
    </row>
    <row r="64" spans="2:23" x14ac:dyDescent="0.2">
      <c r="L64" s="211">
        <f>'Purchased Power Model'!A65</f>
        <v>42430</v>
      </c>
      <c r="M64" s="212">
        <f>'Purchased Power Model'!B65</f>
        <v>2016</v>
      </c>
      <c r="N64" s="212">
        <f>'Purchased Power Model'!C65</f>
        <v>3</v>
      </c>
      <c r="O64" s="46" cm="1">
        <f t="array" ref="O64">IF($N64=12,INDEX($A$32:$J$44,MATCH($M64,$A$32:$A$44,0),MATCH(O$1,$A$1:$J$1,0)),(INDEX($A$32:$J$44,MATCH($M64,$A$32:$A$44,0),MATCH(O$1,$A$1:$J$1,0))-INDEX($A$32:$J$44,MATCH($M64,$A$32:$A$44,0)-1,MATCH(O$1,$A$1:$J$1,0)))/12+O63)</f>
        <v>10259.500000000002</v>
      </c>
      <c r="P64" s="46" cm="1">
        <f t="array" ref="P64">IF($N64=12,INDEX($A$32:$J$44,MATCH($M64,$A$32:$A$44,0),MATCH(P$1,$A$1:$J$1,0)),(INDEX($A$32:$J$44,MATCH($M64,$A$32:$A$44,0),MATCH(P$1,$A$1:$J$1,0))-INDEX($A$32:$J$44,MATCH($M64,$A$32:$A$44,0)-1,MATCH(P$1,$A$1:$J$1,0)))/12+P63)</f>
        <v>1223.2500000000002</v>
      </c>
      <c r="Q64" s="46" cm="1">
        <f t="array" ref="Q64">IF($N64=12,INDEX($A$32:$J$44,MATCH($M64,$A$32:$A$44,0),MATCH(Q$1,$A$1:$J$1,0)),(INDEX($A$32:$J$44,MATCH($M64,$A$32:$A$44,0),MATCH(Q$1,$A$1:$J$1,0))-INDEX($A$32:$J$44,MATCH($M64,$A$32:$A$44,0)-1,MATCH(Q$1,$A$1:$J$1,0)))/12+Q63)</f>
        <v>94.499999999999986</v>
      </c>
      <c r="R64" s="46" cm="1">
        <f t="array" ref="R64">IF($N64=12,INDEX($A$32:$J$44,MATCH($M64,$A$32:$A$44,0),MATCH(R$1,$A$1:$J$1,0)),(INDEX($A$32:$J$44,MATCH($M64,$A$32:$A$44,0),MATCH(R$1,$A$1:$J$1,0))-INDEX($A$32:$J$44,MATCH($M64,$A$32:$A$44,0)-1,MATCH(R$1,$A$1:$J$1,0)))/12+R63)</f>
        <v>2855.5</v>
      </c>
      <c r="S64" s="46" cm="1">
        <f t="array" ref="S64">IF($N64=12,INDEX($A$32:$J$44,MATCH($M64,$A$32:$A$44,0),MATCH(S$1,$A$1:$J$1,0)),(INDEX($A$32:$J$44,MATCH($M64,$A$32:$A$44,0),MATCH(S$1,$A$1:$J$1,0))-INDEX($A$32:$J$44,MATCH($M64,$A$32:$A$44,0)-1,MATCH(S$1,$A$1:$J$1,0)))/12+S63)</f>
        <v>30.750000000000004</v>
      </c>
      <c r="T64" s="46" cm="1">
        <f t="array" ref="T64">IF($N64=12,INDEX($A$32:$J$44,MATCH($M64,$A$32:$A$44,0),MATCH(T$1,$A$1:$J$1,0)),(INDEX($A$32:$J$44,MATCH($M64,$A$32:$A$44,0),MATCH(T$1,$A$1:$J$1,0))-INDEX($A$32:$J$44,MATCH($M64,$A$32:$A$44,0)-1,MATCH(T$1,$A$1:$J$1,0)))/12+T63)</f>
        <v>9</v>
      </c>
      <c r="U64" s="46" cm="1">
        <f t="array" ref="U64">IF($N64=12,INDEX($A$32:$J$44,MATCH($M64,$A$32:$A$44,0),MATCH(U$1,$A$1:$J$1,0)),(INDEX($A$32:$J$44,MATCH($M64,$A$32:$A$44,0),MATCH(U$1,$A$1:$J$1,0))-INDEX($A$32:$J$44,MATCH($M64,$A$32:$A$44,0)-1,MATCH(U$1,$A$1:$J$1,0)))/12+U63)</f>
        <v>5.2499999999999991</v>
      </c>
      <c r="V64" s="46" cm="1">
        <f t="array" ref="V64">IF($N64=12,INDEX($A$32:$J$44,MATCH($M64,$A$32:$A$44,0),MATCH(V$1,$A$1:$J$1,0)),(INDEX($A$32:$J$44,MATCH($M64,$A$32:$A$44,0),MATCH(V$1,$A$1:$J$1,0))-INDEX($A$32:$J$44,MATCH($M64,$A$32:$A$44,0)-1,MATCH(V$1,$A$1:$J$1,0)))/12+V63)</f>
        <v>14477.75</v>
      </c>
      <c r="W64" s="46" cm="1">
        <f t="array" ref="W64">IF($N64=12,INDEX($A$32:$J$44,MATCH($M64,$A$32:$A$44,0),MATCH(W$1,$A$1:$J$1,0)),(INDEX($A$32:$J$44,MATCH($M64,$A$32:$A$44,0),MATCH(W$1,$A$1:$J$1,0))-INDEX($A$32:$J$44,MATCH($M64,$A$32:$A$44,0)-1,MATCH(W$1,$A$1:$J$1,0)))/12+W63)</f>
        <v>11727.499999999998</v>
      </c>
    </row>
    <row r="65" spans="12:23" x14ac:dyDescent="0.2">
      <c r="L65" s="211">
        <f>'Purchased Power Model'!A66</f>
        <v>42461</v>
      </c>
      <c r="M65" s="212">
        <f>'Purchased Power Model'!B66</f>
        <v>2016</v>
      </c>
      <c r="N65" s="212">
        <f>'Purchased Power Model'!C66</f>
        <v>4</v>
      </c>
      <c r="O65" s="46" cm="1">
        <f t="array" ref="O65">IF($N65=12,INDEX($A$32:$J$44,MATCH($M65,$A$32:$A$44,0),MATCH(O$1,$A$1:$J$1,0)),(INDEX($A$32:$J$44,MATCH($M65,$A$32:$A$44,0),MATCH(O$1,$A$1:$J$1,0))-INDEX($A$32:$J$44,MATCH($M65,$A$32:$A$44,0)-1,MATCH(O$1,$A$1:$J$1,0)))/12+O64)</f>
        <v>10265.333333333336</v>
      </c>
      <c r="P65" s="46" cm="1">
        <f t="array" ref="P65">IF($N65=12,INDEX($A$32:$J$44,MATCH($M65,$A$32:$A$44,0),MATCH(P$1,$A$1:$J$1,0)),(INDEX($A$32:$J$44,MATCH($M65,$A$32:$A$44,0),MATCH(P$1,$A$1:$J$1,0))-INDEX($A$32:$J$44,MATCH($M65,$A$32:$A$44,0)-1,MATCH(P$1,$A$1:$J$1,0)))/12+P64)</f>
        <v>1224.666666666667</v>
      </c>
      <c r="Q65" s="46" cm="1">
        <f t="array" ref="Q65">IF($N65=12,INDEX($A$32:$J$44,MATCH($M65,$A$32:$A$44,0),MATCH(Q$1,$A$1:$J$1,0)),(INDEX($A$32:$J$44,MATCH($M65,$A$32:$A$44,0),MATCH(Q$1,$A$1:$J$1,0))-INDEX($A$32:$J$44,MATCH($M65,$A$32:$A$44,0)-1,MATCH(Q$1,$A$1:$J$1,0)))/12+Q64)</f>
        <v>94.333333333333314</v>
      </c>
      <c r="R65" s="46" cm="1">
        <f t="array" ref="R65">IF($N65=12,INDEX($A$32:$J$44,MATCH($M65,$A$32:$A$44,0),MATCH(R$1,$A$1:$J$1,0)),(INDEX($A$32:$J$44,MATCH($M65,$A$32:$A$44,0),MATCH(R$1,$A$1:$J$1,0))-INDEX($A$32:$J$44,MATCH($M65,$A$32:$A$44,0)-1,MATCH(R$1,$A$1:$J$1,0)))/12+R64)</f>
        <v>2864</v>
      </c>
      <c r="S65" s="46" cm="1">
        <f t="array" ref="S65">IF($N65=12,INDEX($A$32:$J$44,MATCH($M65,$A$32:$A$44,0),MATCH(S$1,$A$1:$J$1,0)),(INDEX($A$32:$J$44,MATCH($M65,$A$32:$A$44,0),MATCH(S$1,$A$1:$J$1,0))-INDEX($A$32:$J$44,MATCH($M65,$A$32:$A$44,0)-1,MATCH(S$1,$A$1:$J$1,0)))/12+S64)</f>
        <v>30.666666666666671</v>
      </c>
      <c r="T65" s="46" cm="1">
        <f t="array" ref="T65">IF($N65=12,INDEX($A$32:$J$44,MATCH($M65,$A$32:$A$44,0),MATCH(T$1,$A$1:$J$1,0)),(INDEX($A$32:$J$44,MATCH($M65,$A$32:$A$44,0),MATCH(T$1,$A$1:$J$1,0))-INDEX($A$32:$J$44,MATCH($M65,$A$32:$A$44,0)-1,MATCH(T$1,$A$1:$J$1,0)))/12+T64)</f>
        <v>9.6666666666666661</v>
      </c>
      <c r="U65" s="46" cm="1">
        <f t="array" ref="U65">IF($N65=12,INDEX($A$32:$J$44,MATCH($M65,$A$32:$A$44,0),MATCH(U$1,$A$1:$J$1,0)),(INDEX($A$32:$J$44,MATCH($M65,$A$32:$A$44,0),MATCH(U$1,$A$1:$J$1,0))-INDEX($A$32:$J$44,MATCH($M65,$A$32:$A$44,0)-1,MATCH(U$1,$A$1:$J$1,0)))/12+U64)</f>
        <v>5.3333333333333321</v>
      </c>
      <c r="V65" s="46" cm="1">
        <f t="array" ref="V65">IF($N65=12,INDEX($A$32:$J$44,MATCH($M65,$A$32:$A$44,0),MATCH(V$1,$A$1:$J$1,0)),(INDEX($A$32:$J$44,MATCH($M65,$A$32:$A$44,0),MATCH(V$1,$A$1:$J$1,0))-INDEX($A$32:$J$44,MATCH($M65,$A$32:$A$44,0)-1,MATCH(V$1,$A$1:$J$1,0)))/12+V64)</f>
        <v>14494</v>
      </c>
      <c r="W65" s="46" cm="1">
        <f t="array" ref="W65">IF($N65=12,INDEX($A$32:$J$44,MATCH($M65,$A$32:$A$44,0),MATCH(W$1,$A$1:$J$1,0)),(INDEX($A$32:$J$44,MATCH($M65,$A$32:$A$44,0),MATCH(W$1,$A$1:$J$1,0))-INDEX($A$32:$J$44,MATCH($M65,$A$32:$A$44,0)-1,MATCH(W$1,$A$1:$J$1,0)))/12+W64)</f>
        <v>11734.666666666664</v>
      </c>
    </row>
    <row r="66" spans="12:23" x14ac:dyDescent="0.2">
      <c r="L66" s="211">
        <f>'Purchased Power Model'!A67</f>
        <v>42491</v>
      </c>
      <c r="M66" s="212">
        <f>'Purchased Power Model'!B67</f>
        <v>2016</v>
      </c>
      <c r="N66" s="212">
        <f>'Purchased Power Model'!C67</f>
        <v>5</v>
      </c>
      <c r="O66" s="46" cm="1">
        <f t="array" ref="O66">IF($N66=12,INDEX($A$32:$J$44,MATCH($M66,$A$32:$A$44,0),MATCH(O$1,$A$1:$J$1,0)),(INDEX($A$32:$J$44,MATCH($M66,$A$32:$A$44,0),MATCH(O$1,$A$1:$J$1,0))-INDEX($A$32:$J$44,MATCH($M66,$A$32:$A$44,0)-1,MATCH(O$1,$A$1:$J$1,0)))/12+O65)</f>
        <v>10271.16666666667</v>
      </c>
      <c r="P66" s="46" cm="1">
        <f t="array" ref="P66">IF($N66=12,INDEX($A$32:$J$44,MATCH($M66,$A$32:$A$44,0),MATCH(P$1,$A$1:$J$1,0)),(INDEX($A$32:$J$44,MATCH($M66,$A$32:$A$44,0),MATCH(P$1,$A$1:$J$1,0))-INDEX($A$32:$J$44,MATCH($M66,$A$32:$A$44,0)-1,MATCH(P$1,$A$1:$J$1,0)))/12+P65)</f>
        <v>1226.0833333333337</v>
      </c>
      <c r="Q66" s="46" cm="1">
        <f t="array" ref="Q66">IF($N66=12,INDEX($A$32:$J$44,MATCH($M66,$A$32:$A$44,0),MATCH(Q$1,$A$1:$J$1,0)),(INDEX($A$32:$J$44,MATCH($M66,$A$32:$A$44,0),MATCH(Q$1,$A$1:$J$1,0))-INDEX($A$32:$J$44,MATCH($M66,$A$32:$A$44,0)-1,MATCH(Q$1,$A$1:$J$1,0)))/12+Q65)</f>
        <v>94.166666666666643</v>
      </c>
      <c r="R66" s="46" cm="1">
        <f t="array" ref="R66">IF($N66=12,INDEX($A$32:$J$44,MATCH($M66,$A$32:$A$44,0),MATCH(R$1,$A$1:$J$1,0)),(INDEX($A$32:$J$44,MATCH($M66,$A$32:$A$44,0),MATCH(R$1,$A$1:$J$1,0))-INDEX($A$32:$J$44,MATCH($M66,$A$32:$A$44,0)-1,MATCH(R$1,$A$1:$J$1,0)))/12+R65)</f>
        <v>2872.5</v>
      </c>
      <c r="S66" s="46" cm="1">
        <f t="array" ref="S66">IF($N66=12,INDEX($A$32:$J$44,MATCH($M66,$A$32:$A$44,0),MATCH(S$1,$A$1:$J$1,0)),(INDEX($A$32:$J$44,MATCH($M66,$A$32:$A$44,0),MATCH(S$1,$A$1:$J$1,0))-INDEX($A$32:$J$44,MATCH($M66,$A$32:$A$44,0)-1,MATCH(S$1,$A$1:$J$1,0)))/12+S65)</f>
        <v>30.583333333333339</v>
      </c>
      <c r="T66" s="46" cm="1">
        <f t="array" ref="T66">IF($N66=12,INDEX($A$32:$J$44,MATCH($M66,$A$32:$A$44,0),MATCH(T$1,$A$1:$J$1,0)),(INDEX($A$32:$J$44,MATCH($M66,$A$32:$A$44,0),MATCH(T$1,$A$1:$J$1,0))-INDEX($A$32:$J$44,MATCH($M66,$A$32:$A$44,0)-1,MATCH(T$1,$A$1:$J$1,0)))/12+T65)</f>
        <v>10.333333333333332</v>
      </c>
      <c r="U66" s="46" cm="1">
        <f t="array" ref="U66">IF($N66=12,INDEX($A$32:$J$44,MATCH($M66,$A$32:$A$44,0),MATCH(U$1,$A$1:$J$1,0)),(INDEX($A$32:$J$44,MATCH($M66,$A$32:$A$44,0),MATCH(U$1,$A$1:$J$1,0))-INDEX($A$32:$J$44,MATCH($M66,$A$32:$A$44,0)-1,MATCH(U$1,$A$1:$J$1,0)))/12+U65)</f>
        <v>5.4166666666666652</v>
      </c>
      <c r="V66" s="46" cm="1">
        <f t="array" ref="V66">IF($N66=12,INDEX($A$32:$J$44,MATCH($M66,$A$32:$A$44,0),MATCH(V$1,$A$1:$J$1,0)),(INDEX($A$32:$J$44,MATCH($M66,$A$32:$A$44,0),MATCH(V$1,$A$1:$J$1,0))-INDEX($A$32:$J$44,MATCH($M66,$A$32:$A$44,0)-1,MATCH(V$1,$A$1:$J$1,0)))/12+V65)</f>
        <v>14510.25</v>
      </c>
      <c r="W66" s="46" cm="1">
        <f t="array" ref="W66">IF($N66=12,INDEX($A$32:$J$44,MATCH($M66,$A$32:$A$44,0),MATCH(W$1,$A$1:$J$1,0)),(INDEX($A$32:$J$44,MATCH($M66,$A$32:$A$44,0),MATCH(W$1,$A$1:$J$1,0))-INDEX($A$32:$J$44,MATCH($M66,$A$32:$A$44,0)-1,MATCH(W$1,$A$1:$J$1,0)))/12+W65)</f>
        <v>11741.83333333333</v>
      </c>
    </row>
    <row r="67" spans="12:23" x14ac:dyDescent="0.2">
      <c r="L67" s="211">
        <f>'Purchased Power Model'!A68</f>
        <v>42522</v>
      </c>
      <c r="M67" s="212">
        <f>'Purchased Power Model'!B68</f>
        <v>2016</v>
      </c>
      <c r="N67" s="212">
        <f>'Purchased Power Model'!C68</f>
        <v>6</v>
      </c>
      <c r="O67" s="46" cm="1">
        <f t="array" ref="O67">IF($N67=12,INDEX($A$32:$J$44,MATCH($M67,$A$32:$A$44,0),MATCH(O$1,$A$1:$J$1,0)),(INDEX($A$32:$J$44,MATCH($M67,$A$32:$A$44,0),MATCH(O$1,$A$1:$J$1,0))-INDEX($A$32:$J$44,MATCH($M67,$A$32:$A$44,0)-1,MATCH(O$1,$A$1:$J$1,0)))/12+O66)</f>
        <v>10277.000000000004</v>
      </c>
      <c r="P67" s="46" cm="1">
        <f t="array" ref="P67">IF($N67=12,INDEX($A$32:$J$44,MATCH($M67,$A$32:$A$44,0),MATCH(P$1,$A$1:$J$1,0)),(INDEX($A$32:$J$44,MATCH($M67,$A$32:$A$44,0),MATCH(P$1,$A$1:$J$1,0))-INDEX($A$32:$J$44,MATCH($M67,$A$32:$A$44,0)-1,MATCH(P$1,$A$1:$J$1,0)))/12+P66)</f>
        <v>1227.5000000000005</v>
      </c>
      <c r="Q67" s="46" cm="1">
        <f t="array" ref="Q67">IF($N67=12,INDEX($A$32:$J$44,MATCH($M67,$A$32:$A$44,0),MATCH(Q$1,$A$1:$J$1,0)),(INDEX($A$32:$J$44,MATCH($M67,$A$32:$A$44,0),MATCH(Q$1,$A$1:$J$1,0))-INDEX($A$32:$J$44,MATCH($M67,$A$32:$A$44,0)-1,MATCH(Q$1,$A$1:$J$1,0)))/12+Q66)</f>
        <v>93.999999999999972</v>
      </c>
      <c r="R67" s="46" cm="1">
        <f t="array" ref="R67">IF($N67=12,INDEX($A$32:$J$44,MATCH($M67,$A$32:$A$44,0),MATCH(R$1,$A$1:$J$1,0)),(INDEX($A$32:$J$44,MATCH($M67,$A$32:$A$44,0),MATCH(R$1,$A$1:$J$1,0))-INDEX($A$32:$J$44,MATCH($M67,$A$32:$A$44,0)-1,MATCH(R$1,$A$1:$J$1,0)))/12+R66)</f>
        <v>2881</v>
      </c>
      <c r="S67" s="46" cm="1">
        <f t="array" ref="S67">IF($N67=12,INDEX($A$32:$J$44,MATCH($M67,$A$32:$A$44,0),MATCH(S$1,$A$1:$J$1,0)),(INDEX($A$32:$J$44,MATCH($M67,$A$32:$A$44,0),MATCH(S$1,$A$1:$J$1,0))-INDEX($A$32:$J$44,MATCH($M67,$A$32:$A$44,0)-1,MATCH(S$1,$A$1:$J$1,0)))/12+S66)</f>
        <v>30.500000000000007</v>
      </c>
      <c r="T67" s="46" cm="1">
        <f t="array" ref="T67">IF($N67=12,INDEX($A$32:$J$44,MATCH($M67,$A$32:$A$44,0),MATCH(T$1,$A$1:$J$1,0)),(INDEX($A$32:$J$44,MATCH($M67,$A$32:$A$44,0),MATCH(T$1,$A$1:$J$1,0))-INDEX($A$32:$J$44,MATCH($M67,$A$32:$A$44,0)-1,MATCH(T$1,$A$1:$J$1,0)))/12+T66)</f>
        <v>10.999999999999998</v>
      </c>
      <c r="U67" s="46" cm="1">
        <f t="array" ref="U67">IF($N67=12,INDEX($A$32:$J$44,MATCH($M67,$A$32:$A$44,0),MATCH(U$1,$A$1:$J$1,0)),(INDEX($A$32:$J$44,MATCH($M67,$A$32:$A$44,0),MATCH(U$1,$A$1:$J$1,0))-INDEX($A$32:$J$44,MATCH($M67,$A$32:$A$44,0)-1,MATCH(U$1,$A$1:$J$1,0)))/12+U66)</f>
        <v>5.4999999999999982</v>
      </c>
      <c r="V67" s="46" cm="1">
        <f t="array" ref="V67">IF($N67=12,INDEX($A$32:$J$44,MATCH($M67,$A$32:$A$44,0),MATCH(V$1,$A$1:$J$1,0)),(INDEX($A$32:$J$44,MATCH($M67,$A$32:$A$44,0),MATCH(V$1,$A$1:$J$1,0))-INDEX($A$32:$J$44,MATCH($M67,$A$32:$A$44,0)-1,MATCH(V$1,$A$1:$J$1,0)))/12+V66)</f>
        <v>14526.5</v>
      </c>
      <c r="W67" s="46" cm="1">
        <f t="array" ref="W67">IF($N67=12,INDEX($A$32:$J$44,MATCH($M67,$A$32:$A$44,0),MATCH(W$1,$A$1:$J$1,0)),(INDEX($A$32:$J$44,MATCH($M67,$A$32:$A$44,0),MATCH(W$1,$A$1:$J$1,0))-INDEX($A$32:$J$44,MATCH($M67,$A$32:$A$44,0)-1,MATCH(W$1,$A$1:$J$1,0)))/12+W66)</f>
        <v>11748.999999999996</v>
      </c>
    </row>
    <row r="68" spans="12:23" x14ac:dyDescent="0.2">
      <c r="L68" s="211">
        <f>'Purchased Power Model'!A69</f>
        <v>42552</v>
      </c>
      <c r="M68" s="212">
        <f>'Purchased Power Model'!B69</f>
        <v>2016</v>
      </c>
      <c r="N68" s="212">
        <f>'Purchased Power Model'!C69</f>
        <v>7</v>
      </c>
      <c r="O68" s="46" cm="1">
        <f t="array" ref="O68">IF($N68=12,INDEX($A$32:$J$44,MATCH($M68,$A$32:$A$44,0),MATCH(O$1,$A$1:$J$1,0)),(INDEX($A$32:$J$44,MATCH($M68,$A$32:$A$44,0),MATCH(O$1,$A$1:$J$1,0))-INDEX($A$32:$J$44,MATCH($M68,$A$32:$A$44,0)-1,MATCH(O$1,$A$1:$J$1,0)))/12+O67)</f>
        <v>10282.833333333338</v>
      </c>
      <c r="P68" s="46" cm="1">
        <f t="array" ref="P68">IF($N68=12,INDEX($A$32:$J$44,MATCH($M68,$A$32:$A$44,0),MATCH(P$1,$A$1:$J$1,0)),(INDEX($A$32:$J$44,MATCH($M68,$A$32:$A$44,0),MATCH(P$1,$A$1:$J$1,0))-INDEX($A$32:$J$44,MATCH($M68,$A$32:$A$44,0)-1,MATCH(P$1,$A$1:$J$1,0)))/12+P67)</f>
        <v>1228.9166666666672</v>
      </c>
      <c r="Q68" s="46" cm="1">
        <f t="array" ref="Q68">IF($N68=12,INDEX($A$32:$J$44,MATCH($M68,$A$32:$A$44,0),MATCH(Q$1,$A$1:$J$1,0)),(INDEX($A$32:$J$44,MATCH($M68,$A$32:$A$44,0),MATCH(Q$1,$A$1:$J$1,0))-INDEX($A$32:$J$44,MATCH($M68,$A$32:$A$44,0)-1,MATCH(Q$1,$A$1:$J$1,0)))/12+Q67)</f>
        <v>93.8333333333333</v>
      </c>
      <c r="R68" s="46" cm="1">
        <f t="array" ref="R68">IF($N68=12,INDEX($A$32:$J$44,MATCH($M68,$A$32:$A$44,0),MATCH(R$1,$A$1:$J$1,0)),(INDEX($A$32:$J$44,MATCH($M68,$A$32:$A$44,0),MATCH(R$1,$A$1:$J$1,0))-INDEX($A$32:$J$44,MATCH($M68,$A$32:$A$44,0)-1,MATCH(R$1,$A$1:$J$1,0)))/12+R67)</f>
        <v>2889.5</v>
      </c>
      <c r="S68" s="46" cm="1">
        <f t="array" ref="S68">IF($N68=12,INDEX($A$32:$J$44,MATCH($M68,$A$32:$A$44,0),MATCH(S$1,$A$1:$J$1,0)),(INDEX($A$32:$J$44,MATCH($M68,$A$32:$A$44,0),MATCH(S$1,$A$1:$J$1,0))-INDEX($A$32:$J$44,MATCH($M68,$A$32:$A$44,0)-1,MATCH(S$1,$A$1:$J$1,0)))/12+S67)</f>
        <v>30.416666666666675</v>
      </c>
      <c r="T68" s="46" cm="1">
        <f t="array" ref="T68">IF($N68=12,INDEX($A$32:$J$44,MATCH($M68,$A$32:$A$44,0),MATCH(T$1,$A$1:$J$1,0)),(INDEX($A$32:$J$44,MATCH($M68,$A$32:$A$44,0),MATCH(T$1,$A$1:$J$1,0))-INDEX($A$32:$J$44,MATCH($M68,$A$32:$A$44,0)-1,MATCH(T$1,$A$1:$J$1,0)))/12+T67)</f>
        <v>11.666666666666664</v>
      </c>
      <c r="U68" s="46" cm="1">
        <f t="array" ref="U68">IF($N68=12,INDEX($A$32:$J$44,MATCH($M68,$A$32:$A$44,0),MATCH(U$1,$A$1:$J$1,0)),(INDEX($A$32:$J$44,MATCH($M68,$A$32:$A$44,0),MATCH(U$1,$A$1:$J$1,0))-INDEX($A$32:$J$44,MATCH($M68,$A$32:$A$44,0)-1,MATCH(U$1,$A$1:$J$1,0)))/12+U67)</f>
        <v>5.5833333333333313</v>
      </c>
      <c r="V68" s="46" cm="1">
        <f t="array" ref="V68">IF($N68=12,INDEX($A$32:$J$44,MATCH($M68,$A$32:$A$44,0),MATCH(V$1,$A$1:$J$1,0)),(INDEX($A$32:$J$44,MATCH($M68,$A$32:$A$44,0),MATCH(V$1,$A$1:$J$1,0))-INDEX($A$32:$J$44,MATCH($M68,$A$32:$A$44,0)-1,MATCH(V$1,$A$1:$J$1,0)))/12+V67)</f>
        <v>14542.75</v>
      </c>
      <c r="W68" s="46" cm="1">
        <f t="array" ref="W68">IF($N68=12,INDEX($A$32:$J$44,MATCH($M68,$A$32:$A$44,0),MATCH(W$1,$A$1:$J$1,0)),(INDEX($A$32:$J$44,MATCH($M68,$A$32:$A$44,0),MATCH(W$1,$A$1:$J$1,0))-INDEX($A$32:$J$44,MATCH($M68,$A$32:$A$44,0)-1,MATCH(W$1,$A$1:$J$1,0)))/12+W67)</f>
        <v>11756.166666666662</v>
      </c>
    </row>
    <row r="69" spans="12:23" x14ac:dyDescent="0.2">
      <c r="L69" s="211">
        <f>'Purchased Power Model'!A70</f>
        <v>42583</v>
      </c>
      <c r="M69" s="212">
        <f>'Purchased Power Model'!B70</f>
        <v>2016</v>
      </c>
      <c r="N69" s="212">
        <f>'Purchased Power Model'!C70</f>
        <v>8</v>
      </c>
      <c r="O69" s="46" cm="1">
        <f t="array" ref="O69">IF($N69=12,INDEX($A$32:$J$44,MATCH($M69,$A$32:$A$44,0),MATCH(O$1,$A$1:$J$1,0)),(INDEX($A$32:$J$44,MATCH($M69,$A$32:$A$44,0),MATCH(O$1,$A$1:$J$1,0))-INDEX($A$32:$J$44,MATCH($M69,$A$32:$A$44,0)-1,MATCH(O$1,$A$1:$J$1,0)))/12+O68)</f>
        <v>10288.666666666672</v>
      </c>
      <c r="P69" s="46" cm="1">
        <f t="array" ref="P69">IF($N69=12,INDEX($A$32:$J$44,MATCH($M69,$A$32:$A$44,0),MATCH(P$1,$A$1:$J$1,0)),(INDEX($A$32:$J$44,MATCH($M69,$A$32:$A$44,0),MATCH(P$1,$A$1:$J$1,0))-INDEX($A$32:$J$44,MATCH($M69,$A$32:$A$44,0)-1,MATCH(P$1,$A$1:$J$1,0)))/12+P68)</f>
        <v>1230.3333333333339</v>
      </c>
      <c r="Q69" s="46" cm="1">
        <f t="array" ref="Q69">IF($N69=12,INDEX($A$32:$J$44,MATCH($M69,$A$32:$A$44,0),MATCH(Q$1,$A$1:$J$1,0)),(INDEX($A$32:$J$44,MATCH($M69,$A$32:$A$44,0),MATCH(Q$1,$A$1:$J$1,0))-INDEX($A$32:$J$44,MATCH($M69,$A$32:$A$44,0)-1,MATCH(Q$1,$A$1:$J$1,0)))/12+Q68)</f>
        <v>93.666666666666629</v>
      </c>
      <c r="R69" s="46" cm="1">
        <f t="array" ref="R69">IF($N69=12,INDEX($A$32:$J$44,MATCH($M69,$A$32:$A$44,0),MATCH(R$1,$A$1:$J$1,0)),(INDEX($A$32:$J$44,MATCH($M69,$A$32:$A$44,0),MATCH(R$1,$A$1:$J$1,0))-INDEX($A$32:$J$44,MATCH($M69,$A$32:$A$44,0)-1,MATCH(R$1,$A$1:$J$1,0)))/12+R68)</f>
        <v>2898</v>
      </c>
      <c r="S69" s="46" cm="1">
        <f t="array" ref="S69">IF($N69=12,INDEX($A$32:$J$44,MATCH($M69,$A$32:$A$44,0),MATCH(S$1,$A$1:$J$1,0)),(INDEX($A$32:$J$44,MATCH($M69,$A$32:$A$44,0),MATCH(S$1,$A$1:$J$1,0))-INDEX($A$32:$J$44,MATCH($M69,$A$32:$A$44,0)-1,MATCH(S$1,$A$1:$J$1,0)))/12+S68)</f>
        <v>30.333333333333343</v>
      </c>
      <c r="T69" s="46" cm="1">
        <f t="array" ref="T69">IF($N69=12,INDEX($A$32:$J$44,MATCH($M69,$A$32:$A$44,0),MATCH(T$1,$A$1:$J$1,0)),(INDEX($A$32:$J$44,MATCH($M69,$A$32:$A$44,0),MATCH(T$1,$A$1:$J$1,0))-INDEX($A$32:$J$44,MATCH($M69,$A$32:$A$44,0)-1,MATCH(T$1,$A$1:$J$1,0)))/12+T68)</f>
        <v>12.33333333333333</v>
      </c>
      <c r="U69" s="46" cm="1">
        <f t="array" ref="U69">IF($N69=12,INDEX($A$32:$J$44,MATCH($M69,$A$32:$A$44,0),MATCH(U$1,$A$1:$J$1,0)),(INDEX($A$32:$J$44,MATCH($M69,$A$32:$A$44,0),MATCH(U$1,$A$1:$J$1,0))-INDEX($A$32:$J$44,MATCH($M69,$A$32:$A$44,0)-1,MATCH(U$1,$A$1:$J$1,0)))/12+U68)</f>
        <v>5.6666666666666643</v>
      </c>
      <c r="V69" s="46" cm="1">
        <f t="array" ref="V69">IF($N69=12,INDEX($A$32:$J$44,MATCH($M69,$A$32:$A$44,0),MATCH(V$1,$A$1:$J$1,0)),(INDEX($A$32:$J$44,MATCH($M69,$A$32:$A$44,0),MATCH(V$1,$A$1:$J$1,0))-INDEX($A$32:$J$44,MATCH($M69,$A$32:$A$44,0)-1,MATCH(V$1,$A$1:$J$1,0)))/12+V68)</f>
        <v>14559</v>
      </c>
      <c r="W69" s="46" cm="1">
        <f t="array" ref="W69">IF($N69=12,INDEX($A$32:$J$44,MATCH($M69,$A$32:$A$44,0),MATCH(W$1,$A$1:$J$1,0)),(INDEX($A$32:$J$44,MATCH($M69,$A$32:$A$44,0),MATCH(W$1,$A$1:$J$1,0))-INDEX($A$32:$J$44,MATCH($M69,$A$32:$A$44,0)-1,MATCH(W$1,$A$1:$J$1,0)))/12+W68)</f>
        <v>11763.333333333328</v>
      </c>
    </row>
    <row r="70" spans="12:23" x14ac:dyDescent="0.2">
      <c r="L70" s="211">
        <f>'Purchased Power Model'!A71</f>
        <v>42614</v>
      </c>
      <c r="M70" s="212">
        <f>'Purchased Power Model'!B71</f>
        <v>2016</v>
      </c>
      <c r="N70" s="212">
        <f>'Purchased Power Model'!C71</f>
        <v>9</v>
      </c>
      <c r="O70" s="46" cm="1">
        <f t="array" ref="O70">IF($N70=12,INDEX($A$32:$J$44,MATCH($M70,$A$32:$A$44,0),MATCH(O$1,$A$1:$J$1,0)),(INDEX($A$32:$J$44,MATCH($M70,$A$32:$A$44,0),MATCH(O$1,$A$1:$J$1,0))-INDEX($A$32:$J$44,MATCH($M70,$A$32:$A$44,0)-1,MATCH(O$1,$A$1:$J$1,0)))/12+O69)</f>
        <v>10294.500000000005</v>
      </c>
      <c r="P70" s="46" cm="1">
        <f t="array" ref="P70">IF($N70=12,INDEX($A$32:$J$44,MATCH($M70,$A$32:$A$44,0),MATCH(P$1,$A$1:$J$1,0)),(INDEX($A$32:$J$44,MATCH($M70,$A$32:$A$44,0),MATCH(P$1,$A$1:$J$1,0))-INDEX($A$32:$J$44,MATCH($M70,$A$32:$A$44,0)-1,MATCH(P$1,$A$1:$J$1,0)))/12+P69)</f>
        <v>1231.7500000000007</v>
      </c>
      <c r="Q70" s="46" cm="1">
        <f t="array" ref="Q70">IF($N70=12,INDEX($A$32:$J$44,MATCH($M70,$A$32:$A$44,0),MATCH(Q$1,$A$1:$J$1,0)),(INDEX($A$32:$J$44,MATCH($M70,$A$32:$A$44,0),MATCH(Q$1,$A$1:$J$1,0))-INDEX($A$32:$J$44,MATCH($M70,$A$32:$A$44,0)-1,MATCH(Q$1,$A$1:$J$1,0)))/12+Q69)</f>
        <v>93.499999999999957</v>
      </c>
      <c r="R70" s="46" cm="1">
        <f t="array" ref="R70">IF($N70=12,INDEX($A$32:$J$44,MATCH($M70,$A$32:$A$44,0),MATCH(R$1,$A$1:$J$1,0)),(INDEX($A$32:$J$44,MATCH($M70,$A$32:$A$44,0),MATCH(R$1,$A$1:$J$1,0))-INDEX($A$32:$J$44,MATCH($M70,$A$32:$A$44,0)-1,MATCH(R$1,$A$1:$J$1,0)))/12+R69)</f>
        <v>2906.5</v>
      </c>
      <c r="S70" s="46" cm="1">
        <f t="array" ref="S70">IF($N70=12,INDEX($A$32:$J$44,MATCH($M70,$A$32:$A$44,0),MATCH(S$1,$A$1:$J$1,0)),(INDEX($A$32:$J$44,MATCH($M70,$A$32:$A$44,0),MATCH(S$1,$A$1:$J$1,0))-INDEX($A$32:$J$44,MATCH($M70,$A$32:$A$44,0)-1,MATCH(S$1,$A$1:$J$1,0)))/12+S69)</f>
        <v>30.250000000000011</v>
      </c>
      <c r="T70" s="46" cm="1">
        <f t="array" ref="T70">IF($N70=12,INDEX($A$32:$J$44,MATCH($M70,$A$32:$A$44,0),MATCH(T$1,$A$1:$J$1,0)),(INDEX($A$32:$J$44,MATCH($M70,$A$32:$A$44,0),MATCH(T$1,$A$1:$J$1,0))-INDEX($A$32:$J$44,MATCH($M70,$A$32:$A$44,0)-1,MATCH(T$1,$A$1:$J$1,0)))/12+T69)</f>
        <v>12.999999999999996</v>
      </c>
      <c r="U70" s="46" cm="1">
        <f t="array" ref="U70">IF($N70=12,INDEX($A$32:$J$44,MATCH($M70,$A$32:$A$44,0),MATCH(U$1,$A$1:$J$1,0)),(INDEX($A$32:$J$44,MATCH($M70,$A$32:$A$44,0),MATCH(U$1,$A$1:$J$1,0))-INDEX($A$32:$J$44,MATCH($M70,$A$32:$A$44,0)-1,MATCH(U$1,$A$1:$J$1,0)))/12+U69)</f>
        <v>5.7499999999999973</v>
      </c>
      <c r="V70" s="46" cm="1">
        <f t="array" ref="V70">IF($N70=12,INDEX($A$32:$J$44,MATCH($M70,$A$32:$A$44,0),MATCH(V$1,$A$1:$J$1,0)),(INDEX($A$32:$J$44,MATCH($M70,$A$32:$A$44,0),MATCH(V$1,$A$1:$J$1,0))-INDEX($A$32:$J$44,MATCH($M70,$A$32:$A$44,0)-1,MATCH(V$1,$A$1:$J$1,0)))/12+V69)</f>
        <v>14575.25</v>
      </c>
      <c r="W70" s="46" cm="1">
        <f t="array" ref="W70">IF($N70=12,INDEX($A$32:$J$44,MATCH($M70,$A$32:$A$44,0),MATCH(W$1,$A$1:$J$1,0)),(INDEX($A$32:$J$44,MATCH($M70,$A$32:$A$44,0),MATCH(W$1,$A$1:$J$1,0))-INDEX($A$32:$J$44,MATCH($M70,$A$32:$A$44,0)-1,MATCH(W$1,$A$1:$J$1,0)))/12+W69)</f>
        <v>11770.499999999995</v>
      </c>
    </row>
    <row r="71" spans="12:23" x14ac:dyDescent="0.2">
      <c r="L71" s="211">
        <f>'Purchased Power Model'!A72</f>
        <v>42644</v>
      </c>
      <c r="M71" s="212">
        <f>'Purchased Power Model'!B72</f>
        <v>2016</v>
      </c>
      <c r="N71" s="212">
        <f>'Purchased Power Model'!C72</f>
        <v>10</v>
      </c>
      <c r="O71" s="46" cm="1">
        <f t="array" ref="O71">IF($N71=12,INDEX($A$32:$J$44,MATCH($M71,$A$32:$A$44,0),MATCH(O$1,$A$1:$J$1,0)),(INDEX($A$32:$J$44,MATCH($M71,$A$32:$A$44,0),MATCH(O$1,$A$1:$J$1,0))-INDEX($A$32:$J$44,MATCH($M71,$A$32:$A$44,0)-1,MATCH(O$1,$A$1:$J$1,0)))/12+O70)</f>
        <v>10300.333333333339</v>
      </c>
      <c r="P71" s="46" cm="1">
        <f t="array" ref="P71">IF($N71=12,INDEX($A$32:$J$44,MATCH($M71,$A$32:$A$44,0),MATCH(P$1,$A$1:$J$1,0)),(INDEX($A$32:$J$44,MATCH($M71,$A$32:$A$44,0),MATCH(P$1,$A$1:$J$1,0))-INDEX($A$32:$J$44,MATCH($M71,$A$32:$A$44,0)-1,MATCH(P$1,$A$1:$J$1,0)))/12+P70)</f>
        <v>1233.1666666666674</v>
      </c>
      <c r="Q71" s="46" cm="1">
        <f t="array" ref="Q71">IF($N71=12,INDEX($A$32:$J$44,MATCH($M71,$A$32:$A$44,0),MATCH(Q$1,$A$1:$J$1,0)),(INDEX($A$32:$J$44,MATCH($M71,$A$32:$A$44,0),MATCH(Q$1,$A$1:$J$1,0))-INDEX($A$32:$J$44,MATCH($M71,$A$32:$A$44,0)-1,MATCH(Q$1,$A$1:$J$1,0)))/12+Q70)</f>
        <v>93.333333333333286</v>
      </c>
      <c r="R71" s="46" cm="1">
        <f t="array" ref="R71">IF($N71=12,INDEX($A$32:$J$44,MATCH($M71,$A$32:$A$44,0),MATCH(R$1,$A$1:$J$1,0)),(INDEX($A$32:$J$44,MATCH($M71,$A$32:$A$44,0),MATCH(R$1,$A$1:$J$1,0))-INDEX($A$32:$J$44,MATCH($M71,$A$32:$A$44,0)-1,MATCH(R$1,$A$1:$J$1,0)))/12+R70)</f>
        <v>2915</v>
      </c>
      <c r="S71" s="46" cm="1">
        <f t="array" ref="S71">IF($N71=12,INDEX($A$32:$J$44,MATCH($M71,$A$32:$A$44,0),MATCH(S$1,$A$1:$J$1,0)),(INDEX($A$32:$J$44,MATCH($M71,$A$32:$A$44,0),MATCH(S$1,$A$1:$J$1,0))-INDEX($A$32:$J$44,MATCH($M71,$A$32:$A$44,0)-1,MATCH(S$1,$A$1:$J$1,0)))/12+S70)</f>
        <v>30.166666666666679</v>
      </c>
      <c r="T71" s="46" cm="1">
        <f t="array" ref="T71">IF($N71=12,INDEX($A$32:$J$44,MATCH($M71,$A$32:$A$44,0),MATCH(T$1,$A$1:$J$1,0)),(INDEX($A$32:$J$44,MATCH($M71,$A$32:$A$44,0),MATCH(T$1,$A$1:$J$1,0))-INDEX($A$32:$J$44,MATCH($M71,$A$32:$A$44,0)-1,MATCH(T$1,$A$1:$J$1,0)))/12+T70)</f>
        <v>13.666666666666663</v>
      </c>
      <c r="U71" s="46" cm="1">
        <f t="array" ref="U71">IF($N71=12,INDEX($A$32:$J$44,MATCH($M71,$A$32:$A$44,0),MATCH(U$1,$A$1:$J$1,0)),(INDEX($A$32:$J$44,MATCH($M71,$A$32:$A$44,0),MATCH(U$1,$A$1:$J$1,0))-INDEX($A$32:$J$44,MATCH($M71,$A$32:$A$44,0)-1,MATCH(U$1,$A$1:$J$1,0)))/12+U70)</f>
        <v>5.8333333333333304</v>
      </c>
      <c r="V71" s="46" cm="1">
        <f t="array" ref="V71">IF($N71=12,INDEX($A$32:$J$44,MATCH($M71,$A$32:$A$44,0),MATCH(V$1,$A$1:$J$1,0)),(INDEX($A$32:$J$44,MATCH($M71,$A$32:$A$44,0),MATCH(V$1,$A$1:$J$1,0))-INDEX($A$32:$J$44,MATCH($M71,$A$32:$A$44,0)-1,MATCH(V$1,$A$1:$J$1,0)))/12+V70)</f>
        <v>14591.5</v>
      </c>
      <c r="W71" s="46" cm="1">
        <f t="array" ref="W71">IF($N71=12,INDEX($A$32:$J$44,MATCH($M71,$A$32:$A$44,0),MATCH(W$1,$A$1:$J$1,0)),(INDEX($A$32:$J$44,MATCH($M71,$A$32:$A$44,0),MATCH(W$1,$A$1:$J$1,0))-INDEX($A$32:$J$44,MATCH($M71,$A$32:$A$44,0)-1,MATCH(W$1,$A$1:$J$1,0)))/12+W70)</f>
        <v>11777.666666666661</v>
      </c>
    </row>
    <row r="72" spans="12:23" x14ac:dyDescent="0.2">
      <c r="L72" s="211">
        <f>'Purchased Power Model'!A73</f>
        <v>42675</v>
      </c>
      <c r="M72" s="212">
        <f>'Purchased Power Model'!B73</f>
        <v>2016</v>
      </c>
      <c r="N72" s="212">
        <f>'Purchased Power Model'!C73</f>
        <v>11</v>
      </c>
      <c r="O72" s="46" cm="1">
        <f t="array" ref="O72">IF($N72=12,INDEX($A$32:$J$44,MATCH($M72,$A$32:$A$44,0),MATCH(O$1,$A$1:$J$1,0)),(INDEX($A$32:$J$44,MATCH($M72,$A$32:$A$44,0),MATCH(O$1,$A$1:$J$1,0))-INDEX($A$32:$J$44,MATCH($M72,$A$32:$A$44,0)-1,MATCH(O$1,$A$1:$J$1,0)))/12+O71)</f>
        <v>10306.166666666673</v>
      </c>
      <c r="P72" s="46" cm="1">
        <f t="array" ref="P72">IF($N72=12,INDEX($A$32:$J$44,MATCH($M72,$A$32:$A$44,0),MATCH(P$1,$A$1:$J$1,0)),(INDEX($A$32:$J$44,MATCH($M72,$A$32:$A$44,0),MATCH(P$1,$A$1:$J$1,0))-INDEX($A$32:$J$44,MATCH($M72,$A$32:$A$44,0)-1,MATCH(P$1,$A$1:$J$1,0)))/12+P71)</f>
        <v>1234.5833333333342</v>
      </c>
      <c r="Q72" s="46" cm="1">
        <f t="array" ref="Q72">IF($N72=12,INDEX($A$32:$J$44,MATCH($M72,$A$32:$A$44,0),MATCH(Q$1,$A$1:$J$1,0)),(INDEX($A$32:$J$44,MATCH($M72,$A$32:$A$44,0),MATCH(Q$1,$A$1:$J$1,0))-INDEX($A$32:$J$44,MATCH($M72,$A$32:$A$44,0)-1,MATCH(Q$1,$A$1:$J$1,0)))/12+Q71)</f>
        <v>93.166666666666615</v>
      </c>
      <c r="R72" s="46" cm="1">
        <f t="array" ref="R72">IF($N72=12,INDEX($A$32:$J$44,MATCH($M72,$A$32:$A$44,0),MATCH(R$1,$A$1:$J$1,0)),(INDEX($A$32:$J$44,MATCH($M72,$A$32:$A$44,0),MATCH(R$1,$A$1:$J$1,0))-INDEX($A$32:$J$44,MATCH($M72,$A$32:$A$44,0)-1,MATCH(R$1,$A$1:$J$1,0)))/12+R71)</f>
        <v>2923.5</v>
      </c>
      <c r="S72" s="46" cm="1">
        <f t="array" ref="S72">IF($N72=12,INDEX($A$32:$J$44,MATCH($M72,$A$32:$A$44,0),MATCH(S$1,$A$1:$J$1,0)),(INDEX($A$32:$J$44,MATCH($M72,$A$32:$A$44,0),MATCH(S$1,$A$1:$J$1,0))-INDEX($A$32:$J$44,MATCH($M72,$A$32:$A$44,0)-1,MATCH(S$1,$A$1:$J$1,0)))/12+S71)</f>
        <v>30.083333333333346</v>
      </c>
      <c r="T72" s="46" cm="1">
        <f t="array" ref="T72">IF($N72=12,INDEX($A$32:$J$44,MATCH($M72,$A$32:$A$44,0),MATCH(T$1,$A$1:$J$1,0)),(INDEX($A$32:$J$44,MATCH($M72,$A$32:$A$44,0),MATCH(T$1,$A$1:$J$1,0))-INDEX($A$32:$J$44,MATCH($M72,$A$32:$A$44,0)-1,MATCH(T$1,$A$1:$J$1,0)))/12+T71)</f>
        <v>14.333333333333329</v>
      </c>
      <c r="U72" s="46" cm="1">
        <f t="array" ref="U72">IF($N72=12,INDEX($A$32:$J$44,MATCH($M72,$A$32:$A$44,0),MATCH(U$1,$A$1:$J$1,0)),(INDEX($A$32:$J$44,MATCH($M72,$A$32:$A$44,0),MATCH(U$1,$A$1:$J$1,0))-INDEX($A$32:$J$44,MATCH($M72,$A$32:$A$44,0)-1,MATCH(U$1,$A$1:$J$1,0)))/12+U71)</f>
        <v>5.9166666666666634</v>
      </c>
      <c r="V72" s="46" cm="1">
        <f t="array" ref="V72">IF($N72=12,INDEX($A$32:$J$44,MATCH($M72,$A$32:$A$44,0),MATCH(V$1,$A$1:$J$1,0)),(INDEX($A$32:$J$44,MATCH($M72,$A$32:$A$44,0),MATCH(V$1,$A$1:$J$1,0))-INDEX($A$32:$J$44,MATCH($M72,$A$32:$A$44,0)-1,MATCH(V$1,$A$1:$J$1,0)))/12+V71)</f>
        <v>14607.75</v>
      </c>
      <c r="W72" s="46" cm="1">
        <f t="array" ref="W72">IF($N72=12,INDEX($A$32:$J$44,MATCH($M72,$A$32:$A$44,0),MATCH(W$1,$A$1:$J$1,0)),(INDEX($A$32:$J$44,MATCH($M72,$A$32:$A$44,0),MATCH(W$1,$A$1:$J$1,0))-INDEX($A$32:$J$44,MATCH($M72,$A$32:$A$44,0)-1,MATCH(W$1,$A$1:$J$1,0)))/12+W71)</f>
        <v>11784.833333333327</v>
      </c>
    </row>
    <row r="73" spans="12:23" x14ac:dyDescent="0.2">
      <c r="L73" s="211">
        <f>'Purchased Power Model'!A74</f>
        <v>42705</v>
      </c>
      <c r="M73" s="212">
        <f>'Purchased Power Model'!B74</f>
        <v>2016</v>
      </c>
      <c r="N73" s="212">
        <f>'Purchased Power Model'!C74</f>
        <v>12</v>
      </c>
      <c r="O73" s="46" cm="1">
        <f t="array" ref="O73">IF($N73=12,INDEX($A$32:$J$44,MATCH($M73,$A$32:$A$44,0),MATCH(O$1,$A$1:$J$1,0)),(INDEX($A$32:$J$44,MATCH($M73,$A$32:$A$44,0),MATCH(O$1,$A$1:$J$1,0))-INDEX($A$32:$J$44,MATCH($M73,$A$32:$A$44,0)-1,MATCH(O$1,$A$1:$J$1,0)))/12+O72)</f>
        <v>10312</v>
      </c>
      <c r="P73" s="46" cm="1">
        <f t="array" ref="P73">IF($N73=12,INDEX($A$32:$J$44,MATCH($M73,$A$32:$A$44,0),MATCH(P$1,$A$1:$J$1,0)),(INDEX($A$32:$J$44,MATCH($M73,$A$32:$A$44,0),MATCH(P$1,$A$1:$J$1,0))-INDEX($A$32:$J$44,MATCH($M73,$A$32:$A$44,0)-1,MATCH(P$1,$A$1:$J$1,0)))/12+P72)</f>
        <v>1236</v>
      </c>
      <c r="Q73" s="46" cm="1">
        <f t="array" ref="Q73">IF($N73=12,INDEX($A$32:$J$44,MATCH($M73,$A$32:$A$44,0),MATCH(Q$1,$A$1:$J$1,0)),(INDEX($A$32:$J$44,MATCH($M73,$A$32:$A$44,0),MATCH(Q$1,$A$1:$J$1,0))-INDEX($A$32:$J$44,MATCH($M73,$A$32:$A$44,0)-1,MATCH(Q$1,$A$1:$J$1,0)))/12+Q72)</f>
        <v>93</v>
      </c>
      <c r="R73" s="46" cm="1">
        <f t="array" ref="R73">IF($N73=12,INDEX($A$32:$J$44,MATCH($M73,$A$32:$A$44,0),MATCH(R$1,$A$1:$J$1,0)),(INDEX($A$32:$J$44,MATCH($M73,$A$32:$A$44,0),MATCH(R$1,$A$1:$J$1,0))-INDEX($A$32:$J$44,MATCH($M73,$A$32:$A$44,0)-1,MATCH(R$1,$A$1:$J$1,0)))/12+R72)</f>
        <v>2932</v>
      </c>
      <c r="S73" s="46" cm="1">
        <f t="array" ref="S73">IF($N73=12,INDEX($A$32:$J$44,MATCH($M73,$A$32:$A$44,0),MATCH(S$1,$A$1:$J$1,0)),(INDEX($A$32:$J$44,MATCH($M73,$A$32:$A$44,0),MATCH(S$1,$A$1:$J$1,0))-INDEX($A$32:$J$44,MATCH($M73,$A$32:$A$44,0)-1,MATCH(S$1,$A$1:$J$1,0)))/12+S72)</f>
        <v>30</v>
      </c>
      <c r="T73" s="46" cm="1">
        <f t="array" ref="T73">IF($N73=12,INDEX($A$32:$J$44,MATCH($M73,$A$32:$A$44,0),MATCH(T$1,$A$1:$J$1,0)),(INDEX($A$32:$J$44,MATCH($M73,$A$32:$A$44,0),MATCH(T$1,$A$1:$J$1,0))-INDEX($A$32:$J$44,MATCH($M73,$A$32:$A$44,0)-1,MATCH(T$1,$A$1:$J$1,0)))/12+T72)</f>
        <v>15</v>
      </c>
      <c r="U73" s="46" cm="1">
        <f t="array" ref="U73">IF($N73=12,INDEX($A$32:$J$44,MATCH($M73,$A$32:$A$44,0),MATCH(U$1,$A$1:$J$1,0)),(INDEX($A$32:$J$44,MATCH($M73,$A$32:$A$44,0),MATCH(U$1,$A$1:$J$1,0))-INDEX($A$32:$J$44,MATCH($M73,$A$32:$A$44,0)-1,MATCH(U$1,$A$1:$J$1,0)))/12+U72)</f>
        <v>6</v>
      </c>
      <c r="V73" s="46" cm="1">
        <f t="array" ref="V73">IF($N73=12,INDEX($A$32:$J$44,MATCH($M73,$A$32:$A$44,0),MATCH(V$1,$A$1:$J$1,0)),(INDEX($A$32:$J$44,MATCH($M73,$A$32:$A$44,0),MATCH(V$1,$A$1:$J$1,0))-INDEX($A$32:$J$44,MATCH($M73,$A$32:$A$44,0)-1,MATCH(V$1,$A$1:$J$1,0)))/12+V72)</f>
        <v>14624</v>
      </c>
      <c r="W73" s="46" cm="1">
        <f t="array" ref="W73">IF($N73=12,INDEX($A$32:$J$44,MATCH($M73,$A$32:$A$44,0),MATCH(W$1,$A$1:$J$1,0)),(INDEX($A$32:$J$44,MATCH($M73,$A$32:$A$44,0),MATCH(W$1,$A$1:$J$1,0))-INDEX($A$32:$J$44,MATCH($M73,$A$32:$A$44,0)-1,MATCH(W$1,$A$1:$J$1,0)))/12+W72)</f>
        <v>11792</v>
      </c>
    </row>
    <row r="74" spans="12:23" x14ac:dyDescent="0.2">
      <c r="L74" s="211">
        <f>'Purchased Power Model'!A75</f>
        <v>42736</v>
      </c>
      <c r="M74" s="212">
        <f>'Purchased Power Model'!B75</f>
        <v>2017</v>
      </c>
      <c r="N74" s="212">
        <f>'Purchased Power Model'!C75</f>
        <v>1</v>
      </c>
      <c r="O74" s="46" cm="1">
        <f t="array" ref="O74">IF($N74=12,INDEX($A$32:$J$44,MATCH($M74,$A$32:$A$44,0),MATCH(O$1,$A$1:$J$1,0)),(INDEX($A$32:$J$44,MATCH($M74,$A$32:$A$44,0),MATCH(O$1,$A$1:$J$1,0))-INDEX($A$32:$J$44,MATCH($M74,$A$32:$A$44,0)-1,MATCH(O$1,$A$1:$J$1,0)))/12+O73)</f>
        <v>10322.416666666666</v>
      </c>
      <c r="P74" s="46" cm="1">
        <f t="array" ref="P74">IF($N74=12,INDEX($A$32:$J$44,MATCH($M74,$A$32:$A$44,0),MATCH(P$1,$A$1:$J$1,0)),(INDEX($A$32:$J$44,MATCH($M74,$A$32:$A$44,0),MATCH(P$1,$A$1:$J$1,0))-INDEX($A$32:$J$44,MATCH($M74,$A$32:$A$44,0)-1,MATCH(P$1,$A$1:$J$1,0)))/12+P73)</f>
        <v>1236.1666666666667</v>
      </c>
      <c r="Q74" s="46" cm="1">
        <f t="array" ref="Q74">IF($N74=12,INDEX($A$32:$J$44,MATCH($M74,$A$32:$A$44,0),MATCH(Q$1,$A$1:$J$1,0)),(INDEX($A$32:$J$44,MATCH($M74,$A$32:$A$44,0),MATCH(Q$1,$A$1:$J$1,0))-INDEX($A$32:$J$44,MATCH($M74,$A$32:$A$44,0)-1,MATCH(Q$1,$A$1:$J$1,0)))/12+Q73)</f>
        <v>93.333333333333329</v>
      </c>
      <c r="R74" s="46" cm="1">
        <f t="array" ref="R74">IF($N74=12,INDEX($A$32:$J$44,MATCH($M74,$A$32:$A$44,0),MATCH(R$1,$A$1:$J$1,0)),(INDEX($A$32:$J$44,MATCH($M74,$A$32:$A$44,0),MATCH(R$1,$A$1:$J$1,0))-INDEX($A$32:$J$44,MATCH($M74,$A$32:$A$44,0)-1,MATCH(R$1,$A$1:$J$1,0)))/12+R73)</f>
        <v>2932</v>
      </c>
      <c r="S74" s="46" cm="1">
        <f t="array" ref="S74">IF($N74=12,INDEX($A$32:$J$44,MATCH($M74,$A$32:$A$44,0),MATCH(S$1,$A$1:$J$1,0)),(INDEX($A$32:$J$44,MATCH($M74,$A$32:$A$44,0),MATCH(S$1,$A$1:$J$1,0))-INDEX($A$32:$J$44,MATCH($M74,$A$32:$A$44,0)-1,MATCH(S$1,$A$1:$J$1,0)))/12+S73)</f>
        <v>30.083333333333332</v>
      </c>
      <c r="T74" s="46" cm="1">
        <f t="array" ref="T74">IF($N74=12,INDEX($A$32:$J$44,MATCH($M74,$A$32:$A$44,0),MATCH(T$1,$A$1:$J$1,0)),(INDEX($A$32:$J$44,MATCH($M74,$A$32:$A$44,0),MATCH(T$1,$A$1:$J$1,0))-INDEX($A$32:$J$44,MATCH($M74,$A$32:$A$44,0)-1,MATCH(T$1,$A$1:$J$1,0)))/12+T73)</f>
        <v>15.166666666666666</v>
      </c>
      <c r="U74" s="46" cm="1">
        <f t="array" ref="U74">IF($N74=12,INDEX($A$32:$J$44,MATCH($M74,$A$32:$A$44,0),MATCH(U$1,$A$1:$J$1,0)),(INDEX($A$32:$J$44,MATCH($M74,$A$32:$A$44,0),MATCH(U$1,$A$1:$J$1,0))-INDEX($A$32:$J$44,MATCH($M74,$A$32:$A$44,0)-1,MATCH(U$1,$A$1:$J$1,0)))/12+U73)</f>
        <v>6</v>
      </c>
      <c r="V74" s="46" cm="1">
        <f t="array" ref="V74">IF($N74=12,INDEX($A$32:$J$44,MATCH($M74,$A$32:$A$44,0),MATCH(V$1,$A$1:$J$1,0)),(INDEX($A$32:$J$44,MATCH($M74,$A$32:$A$44,0),MATCH(V$1,$A$1:$J$1,0))-INDEX($A$32:$J$44,MATCH($M74,$A$32:$A$44,0)-1,MATCH(V$1,$A$1:$J$1,0)))/12+V73)</f>
        <v>14635.166666666666</v>
      </c>
      <c r="W74" s="46" cm="1">
        <f t="array" ref="W74">IF($N74=12,INDEX($A$32:$J$44,MATCH($M74,$A$32:$A$44,0),MATCH(W$1,$A$1:$J$1,0)),(INDEX($A$32:$J$44,MATCH($M74,$A$32:$A$44,0),MATCH(W$1,$A$1:$J$1,0))-INDEX($A$32:$J$44,MATCH($M74,$A$32:$A$44,0)-1,MATCH(W$1,$A$1:$J$1,0)))/12+W73)</f>
        <v>11802.916666666666</v>
      </c>
    </row>
    <row r="75" spans="12:23" x14ac:dyDescent="0.2">
      <c r="L75" s="211">
        <f>'Purchased Power Model'!A76</f>
        <v>42767</v>
      </c>
      <c r="M75" s="212">
        <f>'Purchased Power Model'!B76</f>
        <v>2017</v>
      </c>
      <c r="N75" s="212">
        <f>'Purchased Power Model'!C76</f>
        <v>2</v>
      </c>
      <c r="O75" s="46" cm="1">
        <f t="array" ref="O75">IF($N75=12,INDEX($A$32:$J$44,MATCH($M75,$A$32:$A$44,0),MATCH(O$1,$A$1:$J$1,0)),(INDEX($A$32:$J$44,MATCH($M75,$A$32:$A$44,0),MATCH(O$1,$A$1:$J$1,0))-INDEX($A$32:$J$44,MATCH($M75,$A$32:$A$44,0)-1,MATCH(O$1,$A$1:$J$1,0)))/12+O74)</f>
        <v>10332.833333333332</v>
      </c>
      <c r="P75" s="46" cm="1">
        <f t="array" ref="P75">IF($N75=12,INDEX($A$32:$J$44,MATCH($M75,$A$32:$A$44,0),MATCH(P$1,$A$1:$J$1,0)),(INDEX($A$32:$J$44,MATCH($M75,$A$32:$A$44,0),MATCH(P$1,$A$1:$J$1,0))-INDEX($A$32:$J$44,MATCH($M75,$A$32:$A$44,0)-1,MATCH(P$1,$A$1:$J$1,0)))/12+P74)</f>
        <v>1236.3333333333335</v>
      </c>
      <c r="Q75" s="46" cm="1">
        <f t="array" ref="Q75">IF($N75=12,INDEX($A$32:$J$44,MATCH($M75,$A$32:$A$44,0),MATCH(Q$1,$A$1:$J$1,0)),(INDEX($A$32:$J$44,MATCH($M75,$A$32:$A$44,0),MATCH(Q$1,$A$1:$J$1,0))-INDEX($A$32:$J$44,MATCH($M75,$A$32:$A$44,0)-1,MATCH(Q$1,$A$1:$J$1,0)))/12+Q74)</f>
        <v>93.666666666666657</v>
      </c>
      <c r="R75" s="46" cm="1">
        <f t="array" ref="R75">IF($N75=12,INDEX($A$32:$J$44,MATCH($M75,$A$32:$A$44,0),MATCH(R$1,$A$1:$J$1,0)),(INDEX($A$32:$J$44,MATCH($M75,$A$32:$A$44,0),MATCH(R$1,$A$1:$J$1,0))-INDEX($A$32:$J$44,MATCH($M75,$A$32:$A$44,0)-1,MATCH(R$1,$A$1:$J$1,0)))/12+R74)</f>
        <v>2932</v>
      </c>
      <c r="S75" s="46" cm="1">
        <f t="array" ref="S75">IF($N75=12,INDEX($A$32:$J$44,MATCH($M75,$A$32:$A$44,0),MATCH(S$1,$A$1:$J$1,0)),(INDEX($A$32:$J$44,MATCH($M75,$A$32:$A$44,0),MATCH(S$1,$A$1:$J$1,0))-INDEX($A$32:$J$44,MATCH($M75,$A$32:$A$44,0)-1,MATCH(S$1,$A$1:$J$1,0)))/12+S74)</f>
        <v>30.166666666666664</v>
      </c>
      <c r="T75" s="46" cm="1">
        <f t="array" ref="T75">IF($N75=12,INDEX($A$32:$J$44,MATCH($M75,$A$32:$A$44,0),MATCH(T$1,$A$1:$J$1,0)),(INDEX($A$32:$J$44,MATCH($M75,$A$32:$A$44,0),MATCH(T$1,$A$1:$J$1,0))-INDEX($A$32:$J$44,MATCH($M75,$A$32:$A$44,0)-1,MATCH(T$1,$A$1:$J$1,0)))/12+T74)</f>
        <v>15.333333333333332</v>
      </c>
      <c r="U75" s="46" cm="1">
        <f t="array" ref="U75">IF($N75=12,INDEX($A$32:$J$44,MATCH($M75,$A$32:$A$44,0),MATCH(U$1,$A$1:$J$1,0)),(INDEX($A$32:$J$44,MATCH($M75,$A$32:$A$44,0),MATCH(U$1,$A$1:$J$1,0))-INDEX($A$32:$J$44,MATCH($M75,$A$32:$A$44,0)-1,MATCH(U$1,$A$1:$J$1,0)))/12+U74)</f>
        <v>6</v>
      </c>
      <c r="V75" s="46" cm="1">
        <f t="array" ref="V75">IF($N75=12,INDEX($A$32:$J$44,MATCH($M75,$A$32:$A$44,0),MATCH(V$1,$A$1:$J$1,0)),(INDEX($A$32:$J$44,MATCH($M75,$A$32:$A$44,0),MATCH(V$1,$A$1:$J$1,0))-INDEX($A$32:$J$44,MATCH($M75,$A$32:$A$44,0)-1,MATCH(V$1,$A$1:$J$1,0)))/12+V74)</f>
        <v>14646.333333333332</v>
      </c>
      <c r="W75" s="46" cm="1">
        <f t="array" ref="W75">IF($N75=12,INDEX($A$32:$J$44,MATCH($M75,$A$32:$A$44,0),MATCH(W$1,$A$1:$J$1,0)),(INDEX($A$32:$J$44,MATCH($M75,$A$32:$A$44,0),MATCH(W$1,$A$1:$J$1,0))-INDEX($A$32:$J$44,MATCH($M75,$A$32:$A$44,0)-1,MATCH(W$1,$A$1:$J$1,0)))/12+W74)</f>
        <v>11813.833333333332</v>
      </c>
    </row>
    <row r="76" spans="12:23" x14ac:dyDescent="0.2">
      <c r="L76" s="211">
        <f>'Purchased Power Model'!A77</f>
        <v>42795</v>
      </c>
      <c r="M76" s="212">
        <f>'Purchased Power Model'!B77</f>
        <v>2017</v>
      </c>
      <c r="N76" s="212">
        <f>'Purchased Power Model'!C77</f>
        <v>3</v>
      </c>
      <c r="O76" s="46" cm="1">
        <f t="array" ref="O76">IF($N76=12,INDEX($A$32:$J$44,MATCH($M76,$A$32:$A$44,0),MATCH(O$1,$A$1:$J$1,0)),(INDEX($A$32:$J$44,MATCH($M76,$A$32:$A$44,0),MATCH(O$1,$A$1:$J$1,0))-INDEX($A$32:$J$44,MATCH($M76,$A$32:$A$44,0)-1,MATCH(O$1,$A$1:$J$1,0)))/12+O75)</f>
        <v>10343.249999999998</v>
      </c>
      <c r="P76" s="46" cm="1">
        <f t="array" ref="P76">IF($N76=12,INDEX($A$32:$J$44,MATCH($M76,$A$32:$A$44,0),MATCH(P$1,$A$1:$J$1,0)),(INDEX($A$32:$J$44,MATCH($M76,$A$32:$A$44,0),MATCH(P$1,$A$1:$J$1,0))-INDEX($A$32:$J$44,MATCH($M76,$A$32:$A$44,0)-1,MATCH(P$1,$A$1:$J$1,0)))/12+P75)</f>
        <v>1236.5000000000002</v>
      </c>
      <c r="Q76" s="46" cm="1">
        <f t="array" ref="Q76">IF($N76=12,INDEX($A$32:$J$44,MATCH($M76,$A$32:$A$44,0),MATCH(Q$1,$A$1:$J$1,0)),(INDEX($A$32:$J$44,MATCH($M76,$A$32:$A$44,0),MATCH(Q$1,$A$1:$J$1,0))-INDEX($A$32:$J$44,MATCH($M76,$A$32:$A$44,0)-1,MATCH(Q$1,$A$1:$J$1,0)))/12+Q75)</f>
        <v>93.999999999999986</v>
      </c>
      <c r="R76" s="46" cm="1">
        <f t="array" ref="R76">IF($N76=12,INDEX($A$32:$J$44,MATCH($M76,$A$32:$A$44,0),MATCH(R$1,$A$1:$J$1,0)),(INDEX($A$32:$J$44,MATCH($M76,$A$32:$A$44,0),MATCH(R$1,$A$1:$J$1,0))-INDEX($A$32:$J$44,MATCH($M76,$A$32:$A$44,0)-1,MATCH(R$1,$A$1:$J$1,0)))/12+R75)</f>
        <v>2932</v>
      </c>
      <c r="S76" s="46" cm="1">
        <f t="array" ref="S76">IF($N76=12,INDEX($A$32:$J$44,MATCH($M76,$A$32:$A$44,0),MATCH(S$1,$A$1:$J$1,0)),(INDEX($A$32:$J$44,MATCH($M76,$A$32:$A$44,0),MATCH(S$1,$A$1:$J$1,0))-INDEX($A$32:$J$44,MATCH($M76,$A$32:$A$44,0)-1,MATCH(S$1,$A$1:$J$1,0)))/12+S75)</f>
        <v>30.249999999999996</v>
      </c>
      <c r="T76" s="46" cm="1">
        <f t="array" ref="T76">IF($N76=12,INDEX($A$32:$J$44,MATCH($M76,$A$32:$A$44,0),MATCH(T$1,$A$1:$J$1,0)),(INDEX($A$32:$J$44,MATCH($M76,$A$32:$A$44,0),MATCH(T$1,$A$1:$J$1,0))-INDEX($A$32:$J$44,MATCH($M76,$A$32:$A$44,0)-1,MATCH(T$1,$A$1:$J$1,0)))/12+T75)</f>
        <v>15.499999999999998</v>
      </c>
      <c r="U76" s="46" cm="1">
        <f t="array" ref="U76">IF($N76=12,INDEX($A$32:$J$44,MATCH($M76,$A$32:$A$44,0),MATCH(U$1,$A$1:$J$1,0)),(INDEX($A$32:$J$44,MATCH($M76,$A$32:$A$44,0),MATCH(U$1,$A$1:$J$1,0))-INDEX($A$32:$J$44,MATCH($M76,$A$32:$A$44,0)-1,MATCH(U$1,$A$1:$J$1,0)))/12+U75)</f>
        <v>6</v>
      </c>
      <c r="V76" s="46" cm="1">
        <f t="array" ref="V76">IF($N76=12,INDEX($A$32:$J$44,MATCH($M76,$A$32:$A$44,0),MATCH(V$1,$A$1:$J$1,0)),(INDEX($A$32:$J$44,MATCH($M76,$A$32:$A$44,0),MATCH(V$1,$A$1:$J$1,0))-INDEX($A$32:$J$44,MATCH($M76,$A$32:$A$44,0)-1,MATCH(V$1,$A$1:$J$1,0)))/12+V75)</f>
        <v>14657.499999999998</v>
      </c>
      <c r="W76" s="46" cm="1">
        <f t="array" ref="W76">IF($N76=12,INDEX($A$32:$J$44,MATCH($M76,$A$32:$A$44,0),MATCH(W$1,$A$1:$J$1,0)),(INDEX($A$32:$J$44,MATCH($M76,$A$32:$A$44,0),MATCH(W$1,$A$1:$J$1,0))-INDEX($A$32:$J$44,MATCH($M76,$A$32:$A$44,0)-1,MATCH(W$1,$A$1:$J$1,0)))/12+W75)</f>
        <v>11824.749999999998</v>
      </c>
    </row>
    <row r="77" spans="12:23" x14ac:dyDescent="0.2">
      <c r="L77" s="211">
        <f>'Purchased Power Model'!A78</f>
        <v>42826</v>
      </c>
      <c r="M77" s="212">
        <f>'Purchased Power Model'!B78</f>
        <v>2017</v>
      </c>
      <c r="N77" s="212">
        <f>'Purchased Power Model'!C78</f>
        <v>4</v>
      </c>
      <c r="O77" s="46" cm="1">
        <f t="array" ref="O77">IF($N77=12,INDEX($A$32:$J$44,MATCH($M77,$A$32:$A$44,0),MATCH(O$1,$A$1:$J$1,0)),(INDEX($A$32:$J$44,MATCH($M77,$A$32:$A$44,0),MATCH(O$1,$A$1:$J$1,0))-INDEX($A$32:$J$44,MATCH($M77,$A$32:$A$44,0)-1,MATCH(O$1,$A$1:$J$1,0)))/12+O76)</f>
        <v>10353.666666666664</v>
      </c>
      <c r="P77" s="46" cm="1">
        <f t="array" ref="P77">IF($N77=12,INDEX($A$32:$J$44,MATCH($M77,$A$32:$A$44,0),MATCH(P$1,$A$1:$J$1,0)),(INDEX($A$32:$J$44,MATCH($M77,$A$32:$A$44,0),MATCH(P$1,$A$1:$J$1,0))-INDEX($A$32:$J$44,MATCH($M77,$A$32:$A$44,0)-1,MATCH(P$1,$A$1:$J$1,0)))/12+P76)</f>
        <v>1236.666666666667</v>
      </c>
      <c r="Q77" s="46" cm="1">
        <f t="array" ref="Q77">IF($N77=12,INDEX($A$32:$J$44,MATCH($M77,$A$32:$A$44,0),MATCH(Q$1,$A$1:$J$1,0)),(INDEX($A$32:$J$44,MATCH($M77,$A$32:$A$44,0),MATCH(Q$1,$A$1:$J$1,0))-INDEX($A$32:$J$44,MATCH($M77,$A$32:$A$44,0)-1,MATCH(Q$1,$A$1:$J$1,0)))/12+Q76)</f>
        <v>94.333333333333314</v>
      </c>
      <c r="R77" s="46" cm="1">
        <f t="array" ref="R77">IF($N77=12,INDEX($A$32:$J$44,MATCH($M77,$A$32:$A$44,0),MATCH(R$1,$A$1:$J$1,0)),(INDEX($A$32:$J$44,MATCH($M77,$A$32:$A$44,0),MATCH(R$1,$A$1:$J$1,0))-INDEX($A$32:$J$44,MATCH($M77,$A$32:$A$44,0)-1,MATCH(R$1,$A$1:$J$1,0)))/12+R76)</f>
        <v>2932</v>
      </c>
      <c r="S77" s="46" cm="1">
        <f t="array" ref="S77">IF($N77=12,INDEX($A$32:$J$44,MATCH($M77,$A$32:$A$44,0),MATCH(S$1,$A$1:$J$1,0)),(INDEX($A$32:$J$44,MATCH($M77,$A$32:$A$44,0),MATCH(S$1,$A$1:$J$1,0))-INDEX($A$32:$J$44,MATCH($M77,$A$32:$A$44,0)-1,MATCH(S$1,$A$1:$J$1,0)))/12+S76)</f>
        <v>30.333333333333329</v>
      </c>
      <c r="T77" s="46" cm="1">
        <f t="array" ref="T77">IF($N77=12,INDEX($A$32:$J$44,MATCH($M77,$A$32:$A$44,0),MATCH(T$1,$A$1:$J$1,0)),(INDEX($A$32:$J$44,MATCH($M77,$A$32:$A$44,0),MATCH(T$1,$A$1:$J$1,0))-INDEX($A$32:$J$44,MATCH($M77,$A$32:$A$44,0)-1,MATCH(T$1,$A$1:$J$1,0)))/12+T76)</f>
        <v>15.666666666666664</v>
      </c>
      <c r="U77" s="46" cm="1">
        <f t="array" ref="U77">IF($N77=12,INDEX($A$32:$J$44,MATCH($M77,$A$32:$A$44,0),MATCH(U$1,$A$1:$J$1,0)),(INDEX($A$32:$J$44,MATCH($M77,$A$32:$A$44,0),MATCH(U$1,$A$1:$J$1,0))-INDEX($A$32:$J$44,MATCH($M77,$A$32:$A$44,0)-1,MATCH(U$1,$A$1:$J$1,0)))/12+U76)</f>
        <v>6</v>
      </c>
      <c r="V77" s="46" cm="1">
        <f t="array" ref="V77">IF($N77=12,INDEX($A$32:$J$44,MATCH($M77,$A$32:$A$44,0),MATCH(V$1,$A$1:$J$1,0)),(INDEX($A$32:$J$44,MATCH($M77,$A$32:$A$44,0),MATCH(V$1,$A$1:$J$1,0))-INDEX($A$32:$J$44,MATCH($M77,$A$32:$A$44,0)-1,MATCH(V$1,$A$1:$J$1,0)))/12+V76)</f>
        <v>14668.666666666664</v>
      </c>
      <c r="W77" s="46" cm="1">
        <f t="array" ref="W77">IF($N77=12,INDEX($A$32:$J$44,MATCH($M77,$A$32:$A$44,0),MATCH(W$1,$A$1:$J$1,0)),(INDEX($A$32:$J$44,MATCH($M77,$A$32:$A$44,0),MATCH(W$1,$A$1:$J$1,0))-INDEX($A$32:$J$44,MATCH($M77,$A$32:$A$44,0)-1,MATCH(W$1,$A$1:$J$1,0)))/12+W76)</f>
        <v>11835.666666666664</v>
      </c>
    </row>
    <row r="78" spans="12:23" x14ac:dyDescent="0.2">
      <c r="L78" s="211">
        <f>'Purchased Power Model'!A79</f>
        <v>42856</v>
      </c>
      <c r="M78" s="212">
        <f>'Purchased Power Model'!B79</f>
        <v>2017</v>
      </c>
      <c r="N78" s="212">
        <f>'Purchased Power Model'!C79</f>
        <v>5</v>
      </c>
      <c r="O78" s="46" cm="1">
        <f t="array" ref="O78">IF($N78=12,INDEX($A$32:$J$44,MATCH($M78,$A$32:$A$44,0),MATCH(O$1,$A$1:$J$1,0)),(INDEX($A$32:$J$44,MATCH($M78,$A$32:$A$44,0),MATCH(O$1,$A$1:$J$1,0))-INDEX($A$32:$J$44,MATCH($M78,$A$32:$A$44,0)-1,MATCH(O$1,$A$1:$J$1,0)))/12+O77)</f>
        <v>10364.08333333333</v>
      </c>
      <c r="P78" s="46" cm="1">
        <f t="array" ref="P78">IF($N78=12,INDEX($A$32:$J$44,MATCH($M78,$A$32:$A$44,0),MATCH(P$1,$A$1:$J$1,0)),(INDEX($A$32:$J$44,MATCH($M78,$A$32:$A$44,0),MATCH(P$1,$A$1:$J$1,0))-INDEX($A$32:$J$44,MATCH($M78,$A$32:$A$44,0)-1,MATCH(P$1,$A$1:$J$1,0)))/12+P77)</f>
        <v>1236.8333333333337</v>
      </c>
      <c r="Q78" s="46" cm="1">
        <f t="array" ref="Q78">IF($N78=12,INDEX($A$32:$J$44,MATCH($M78,$A$32:$A$44,0),MATCH(Q$1,$A$1:$J$1,0)),(INDEX($A$32:$J$44,MATCH($M78,$A$32:$A$44,0),MATCH(Q$1,$A$1:$J$1,0))-INDEX($A$32:$J$44,MATCH($M78,$A$32:$A$44,0)-1,MATCH(Q$1,$A$1:$J$1,0)))/12+Q77)</f>
        <v>94.666666666666643</v>
      </c>
      <c r="R78" s="46" cm="1">
        <f t="array" ref="R78">IF($N78=12,INDEX($A$32:$J$44,MATCH($M78,$A$32:$A$44,0),MATCH(R$1,$A$1:$J$1,0)),(INDEX($A$32:$J$44,MATCH($M78,$A$32:$A$44,0),MATCH(R$1,$A$1:$J$1,0))-INDEX($A$32:$J$44,MATCH($M78,$A$32:$A$44,0)-1,MATCH(R$1,$A$1:$J$1,0)))/12+R77)</f>
        <v>2932</v>
      </c>
      <c r="S78" s="46" cm="1">
        <f t="array" ref="S78">IF($N78=12,INDEX($A$32:$J$44,MATCH($M78,$A$32:$A$44,0),MATCH(S$1,$A$1:$J$1,0)),(INDEX($A$32:$J$44,MATCH($M78,$A$32:$A$44,0),MATCH(S$1,$A$1:$J$1,0))-INDEX($A$32:$J$44,MATCH($M78,$A$32:$A$44,0)-1,MATCH(S$1,$A$1:$J$1,0)))/12+S77)</f>
        <v>30.416666666666661</v>
      </c>
      <c r="T78" s="46" cm="1">
        <f t="array" ref="T78">IF($N78=12,INDEX($A$32:$J$44,MATCH($M78,$A$32:$A$44,0),MATCH(T$1,$A$1:$J$1,0)),(INDEX($A$32:$J$44,MATCH($M78,$A$32:$A$44,0),MATCH(T$1,$A$1:$J$1,0))-INDEX($A$32:$J$44,MATCH($M78,$A$32:$A$44,0)-1,MATCH(T$1,$A$1:$J$1,0)))/12+T77)</f>
        <v>15.83333333333333</v>
      </c>
      <c r="U78" s="46" cm="1">
        <f t="array" ref="U78">IF($N78=12,INDEX($A$32:$J$44,MATCH($M78,$A$32:$A$44,0),MATCH(U$1,$A$1:$J$1,0)),(INDEX($A$32:$J$44,MATCH($M78,$A$32:$A$44,0),MATCH(U$1,$A$1:$J$1,0))-INDEX($A$32:$J$44,MATCH($M78,$A$32:$A$44,0)-1,MATCH(U$1,$A$1:$J$1,0)))/12+U77)</f>
        <v>6</v>
      </c>
      <c r="V78" s="46" cm="1">
        <f t="array" ref="V78">IF($N78=12,INDEX($A$32:$J$44,MATCH($M78,$A$32:$A$44,0),MATCH(V$1,$A$1:$J$1,0)),(INDEX($A$32:$J$44,MATCH($M78,$A$32:$A$44,0),MATCH(V$1,$A$1:$J$1,0))-INDEX($A$32:$J$44,MATCH($M78,$A$32:$A$44,0)-1,MATCH(V$1,$A$1:$J$1,0)))/12+V77)</f>
        <v>14679.83333333333</v>
      </c>
      <c r="W78" s="46" cm="1">
        <f t="array" ref="W78">IF($N78=12,INDEX($A$32:$J$44,MATCH($M78,$A$32:$A$44,0),MATCH(W$1,$A$1:$J$1,0)),(INDEX($A$32:$J$44,MATCH($M78,$A$32:$A$44,0),MATCH(W$1,$A$1:$J$1,0))-INDEX($A$32:$J$44,MATCH($M78,$A$32:$A$44,0)-1,MATCH(W$1,$A$1:$J$1,0)))/12+W77)</f>
        <v>11846.58333333333</v>
      </c>
    </row>
    <row r="79" spans="12:23" x14ac:dyDescent="0.2">
      <c r="L79" s="211">
        <f>'Purchased Power Model'!A80</f>
        <v>42887</v>
      </c>
      <c r="M79" s="212">
        <f>'Purchased Power Model'!B80</f>
        <v>2017</v>
      </c>
      <c r="N79" s="212">
        <f>'Purchased Power Model'!C80</f>
        <v>6</v>
      </c>
      <c r="O79" s="46" cm="1">
        <f t="array" ref="O79">IF($N79=12,INDEX($A$32:$J$44,MATCH($M79,$A$32:$A$44,0),MATCH(O$1,$A$1:$J$1,0)),(INDEX($A$32:$J$44,MATCH($M79,$A$32:$A$44,0),MATCH(O$1,$A$1:$J$1,0))-INDEX($A$32:$J$44,MATCH($M79,$A$32:$A$44,0)-1,MATCH(O$1,$A$1:$J$1,0)))/12+O78)</f>
        <v>10374.499999999996</v>
      </c>
      <c r="P79" s="46" cm="1">
        <f t="array" ref="P79">IF($N79=12,INDEX($A$32:$J$44,MATCH($M79,$A$32:$A$44,0),MATCH(P$1,$A$1:$J$1,0)),(INDEX($A$32:$J$44,MATCH($M79,$A$32:$A$44,0),MATCH(P$1,$A$1:$J$1,0))-INDEX($A$32:$J$44,MATCH($M79,$A$32:$A$44,0)-1,MATCH(P$1,$A$1:$J$1,0)))/12+P78)</f>
        <v>1237.0000000000005</v>
      </c>
      <c r="Q79" s="46" cm="1">
        <f t="array" ref="Q79">IF($N79=12,INDEX($A$32:$J$44,MATCH($M79,$A$32:$A$44,0),MATCH(Q$1,$A$1:$J$1,0)),(INDEX($A$32:$J$44,MATCH($M79,$A$32:$A$44,0),MATCH(Q$1,$A$1:$J$1,0))-INDEX($A$32:$J$44,MATCH($M79,$A$32:$A$44,0)-1,MATCH(Q$1,$A$1:$J$1,0)))/12+Q78)</f>
        <v>94.999999999999972</v>
      </c>
      <c r="R79" s="46" cm="1">
        <f t="array" ref="R79">IF($N79=12,INDEX($A$32:$J$44,MATCH($M79,$A$32:$A$44,0),MATCH(R$1,$A$1:$J$1,0)),(INDEX($A$32:$J$44,MATCH($M79,$A$32:$A$44,0),MATCH(R$1,$A$1:$J$1,0))-INDEX($A$32:$J$44,MATCH($M79,$A$32:$A$44,0)-1,MATCH(R$1,$A$1:$J$1,0)))/12+R78)</f>
        <v>2932</v>
      </c>
      <c r="S79" s="46" cm="1">
        <f t="array" ref="S79">IF($N79=12,INDEX($A$32:$J$44,MATCH($M79,$A$32:$A$44,0),MATCH(S$1,$A$1:$J$1,0)),(INDEX($A$32:$J$44,MATCH($M79,$A$32:$A$44,0),MATCH(S$1,$A$1:$J$1,0))-INDEX($A$32:$J$44,MATCH($M79,$A$32:$A$44,0)-1,MATCH(S$1,$A$1:$J$1,0)))/12+S78)</f>
        <v>30.499999999999993</v>
      </c>
      <c r="T79" s="46" cm="1">
        <f t="array" ref="T79">IF($N79=12,INDEX($A$32:$J$44,MATCH($M79,$A$32:$A$44,0),MATCH(T$1,$A$1:$J$1,0)),(INDEX($A$32:$J$44,MATCH($M79,$A$32:$A$44,0),MATCH(T$1,$A$1:$J$1,0))-INDEX($A$32:$J$44,MATCH($M79,$A$32:$A$44,0)-1,MATCH(T$1,$A$1:$J$1,0)))/12+T78)</f>
        <v>15.999999999999996</v>
      </c>
      <c r="U79" s="46" cm="1">
        <f t="array" ref="U79">IF($N79=12,INDEX($A$32:$J$44,MATCH($M79,$A$32:$A$44,0),MATCH(U$1,$A$1:$J$1,0)),(INDEX($A$32:$J$44,MATCH($M79,$A$32:$A$44,0),MATCH(U$1,$A$1:$J$1,0))-INDEX($A$32:$J$44,MATCH($M79,$A$32:$A$44,0)-1,MATCH(U$1,$A$1:$J$1,0)))/12+U78)</f>
        <v>6</v>
      </c>
      <c r="V79" s="46" cm="1">
        <f t="array" ref="V79">IF($N79=12,INDEX($A$32:$J$44,MATCH($M79,$A$32:$A$44,0),MATCH(V$1,$A$1:$J$1,0)),(INDEX($A$32:$J$44,MATCH($M79,$A$32:$A$44,0),MATCH(V$1,$A$1:$J$1,0))-INDEX($A$32:$J$44,MATCH($M79,$A$32:$A$44,0)-1,MATCH(V$1,$A$1:$J$1,0)))/12+V78)</f>
        <v>14690.999999999996</v>
      </c>
      <c r="W79" s="46" cm="1">
        <f t="array" ref="W79">IF($N79=12,INDEX($A$32:$J$44,MATCH($M79,$A$32:$A$44,0),MATCH(W$1,$A$1:$J$1,0)),(INDEX($A$32:$J$44,MATCH($M79,$A$32:$A$44,0),MATCH(W$1,$A$1:$J$1,0))-INDEX($A$32:$J$44,MATCH($M79,$A$32:$A$44,0)-1,MATCH(W$1,$A$1:$J$1,0)))/12+W78)</f>
        <v>11857.499999999996</v>
      </c>
    </row>
    <row r="80" spans="12:23" x14ac:dyDescent="0.2">
      <c r="L80" s="211">
        <f>'Purchased Power Model'!A81</f>
        <v>42917</v>
      </c>
      <c r="M80" s="212">
        <f>'Purchased Power Model'!B81</f>
        <v>2017</v>
      </c>
      <c r="N80" s="212">
        <f>'Purchased Power Model'!C81</f>
        <v>7</v>
      </c>
      <c r="O80" s="46" cm="1">
        <f t="array" ref="O80">IF($N80=12,INDEX($A$32:$J$44,MATCH($M80,$A$32:$A$44,0),MATCH(O$1,$A$1:$J$1,0)),(INDEX($A$32:$J$44,MATCH($M80,$A$32:$A$44,0),MATCH(O$1,$A$1:$J$1,0))-INDEX($A$32:$J$44,MATCH($M80,$A$32:$A$44,0)-1,MATCH(O$1,$A$1:$J$1,0)))/12+O79)</f>
        <v>10384.916666666662</v>
      </c>
      <c r="P80" s="46" cm="1">
        <f t="array" ref="P80">IF($N80=12,INDEX($A$32:$J$44,MATCH($M80,$A$32:$A$44,0),MATCH(P$1,$A$1:$J$1,0)),(INDEX($A$32:$J$44,MATCH($M80,$A$32:$A$44,0),MATCH(P$1,$A$1:$J$1,0))-INDEX($A$32:$J$44,MATCH($M80,$A$32:$A$44,0)-1,MATCH(P$1,$A$1:$J$1,0)))/12+P79)</f>
        <v>1237.1666666666672</v>
      </c>
      <c r="Q80" s="46" cm="1">
        <f t="array" ref="Q80">IF($N80=12,INDEX($A$32:$J$44,MATCH($M80,$A$32:$A$44,0),MATCH(Q$1,$A$1:$J$1,0)),(INDEX($A$32:$J$44,MATCH($M80,$A$32:$A$44,0),MATCH(Q$1,$A$1:$J$1,0))-INDEX($A$32:$J$44,MATCH($M80,$A$32:$A$44,0)-1,MATCH(Q$1,$A$1:$J$1,0)))/12+Q79)</f>
        <v>95.3333333333333</v>
      </c>
      <c r="R80" s="46" cm="1">
        <f t="array" ref="R80">IF($N80=12,INDEX($A$32:$J$44,MATCH($M80,$A$32:$A$44,0),MATCH(R$1,$A$1:$J$1,0)),(INDEX($A$32:$J$44,MATCH($M80,$A$32:$A$44,0),MATCH(R$1,$A$1:$J$1,0))-INDEX($A$32:$J$44,MATCH($M80,$A$32:$A$44,0)-1,MATCH(R$1,$A$1:$J$1,0)))/12+R79)</f>
        <v>2932</v>
      </c>
      <c r="S80" s="46" cm="1">
        <f t="array" ref="S80">IF($N80=12,INDEX($A$32:$J$44,MATCH($M80,$A$32:$A$44,0),MATCH(S$1,$A$1:$J$1,0)),(INDEX($A$32:$J$44,MATCH($M80,$A$32:$A$44,0),MATCH(S$1,$A$1:$J$1,0))-INDEX($A$32:$J$44,MATCH($M80,$A$32:$A$44,0)-1,MATCH(S$1,$A$1:$J$1,0)))/12+S79)</f>
        <v>30.583333333333325</v>
      </c>
      <c r="T80" s="46" cm="1">
        <f t="array" ref="T80">IF($N80=12,INDEX($A$32:$J$44,MATCH($M80,$A$32:$A$44,0),MATCH(T$1,$A$1:$J$1,0)),(INDEX($A$32:$J$44,MATCH($M80,$A$32:$A$44,0),MATCH(T$1,$A$1:$J$1,0))-INDEX($A$32:$J$44,MATCH($M80,$A$32:$A$44,0)-1,MATCH(T$1,$A$1:$J$1,0)))/12+T79)</f>
        <v>16.166666666666664</v>
      </c>
      <c r="U80" s="46" cm="1">
        <f t="array" ref="U80">IF($N80=12,INDEX($A$32:$J$44,MATCH($M80,$A$32:$A$44,0),MATCH(U$1,$A$1:$J$1,0)),(INDEX($A$32:$J$44,MATCH($M80,$A$32:$A$44,0),MATCH(U$1,$A$1:$J$1,0))-INDEX($A$32:$J$44,MATCH($M80,$A$32:$A$44,0)-1,MATCH(U$1,$A$1:$J$1,0)))/12+U79)</f>
        <v>6</v>
      </c>
      <c r="V80" s="46" cm="1">
        <f t="array" ref="V80">IF($N80=12,INDEX($A$32:$J$44,MATCH($M80,$A$32:$A$44,0),MATCH(V$1,$A$1:$J$1,0)),(INDEX($A$32:$J$44,MATCH($M80,$A$32:$A$44,0),MATCH(V$1,$A$1:$J$1,0))-INDEX($A$32:$J$44,MATCH($M80,$A$32:$A$44,0)-1,MATCH(V$1,$A$1:$J$1,0)))/12+V79)</f>
        <v>14702.166666666662</v>
      </c>
      <c r="W80" s="46" cm="1">
        <f t="array" ref="W80">IF($N80=12,INDEX($A$32:$J$44,MATCH($M80,$A$32:$A$44,0),MATCH(W$1,$A$1:$J$1,0)),(INDEX($A$32:$J$44,MATCH($M80,$A$32:$A$44,0),MATCH(W$1,$A$1:$J$1,0))-INDEX($A$32:$J$44,MATCH($M80,$A$32:$A$44,0)-1,MATCH(W$1,$A$1:$J$1,0)))/12+W79)</f>
        <v>11868.416666666662</v>
      </c>
    </row>
    <row r="81" spans="2:23" x14ac:dyDescent="0.2">
      <c r="D81" s="12"/>
      <c r="E81" s="12"/>
      <c r="F81" s="12"/>
      <c r="L81" s="211">
        <f>'Purchased Power Model'!A82</f>
        <v>42948</v>
      </c>
      <c r="M81" s="212">
        <f>'Purchased Power Model'!B82</f>
        <v>2017</v>
      </c>
      <c r="N81" s="212">
        <f>'Purchased Power Model'!C82</f>
        <v>8</v>
      </c>
      <c r="O81" s="46" cm="1">
        <f t="array" ref="O81">IF($N81=12,INDEX($A$32:$J$44,MATCH($M81,$A$32:$A$44,0),MATCH(O$1,$A$1:$J$1,0)),(INDEX($A$32:$J$44,MATCH($M81,$A$32:$A$44,0),MATCH(O$1,$A$1:$J$1,0))-INDEX($A$32:$J$44,MATCH($M81,$A$32:$A$44,0)-1,MATCH(O$1,$A$1:$J$1,0)))/12+O80)</f>
        <v>10395.333333333328</v>
      </c>
      <c r="P81" s="46" cm="1">
        <f t="array" ref="P81">IF($N81=12,INDEX($A$32:$J$44,MATCH($M81,$A$32:$A$44,0),MATCH(P$1,$A$1:$J$1,0)),(INDEX($A$32:$J$44,MATCH($M81,$A$32:$A$44,0),MATCH(P$1,$A$1:$J$1,0))-INDEX($A$32:$J$44,MATCH($M81,$A$32:$A$44,0)-1,MATCH(P$1,$A$1:$J$1,0)))/12+P80)</f>
        <v>1237.3333333333339</v>
      </c>
      <c r="Q81" s="46" cm="1">
        <f t="array" ref="Q81">IF($N81=12,INDEX($A$32:$J$44,MATCH($M81,$A$32:$A$44,0),MATCH(Q$1,$A$1:$J$1,0)),(INDEX($A$32:$J$44,MATCH($M81,$A$32:$A$44,0),MATCH(Q$1,$A$1:$J$1,0))-INDEX($A$32:$J$44,MATCH($M81,$A$32:$A$44,0)-1,MATCH(Q$1,$A$1:$J$1,0)))/12+Q80)</f>
        <v>95.666666666666629</v>
      </c>
      <c r="R81" s="46" cm="1">
        <f t="array" ref="R81">IF($N81=12,INDEX($A$32:$J$44,MATCH($M81,$A$32:$A$44,0),MATCH(R$1,$A$1:$J$1,0)),(INDEX($A$32:$J$44,MATCH($M81,$A$32:$A$44,0),MATCH(R$1,$A$1:$J$1,0))-INDEX($A$32:$J$44,MATCH($M81,$A$32:$A$44,0)-1,MATCH(R$1,$A$1:$J$1,0)))/12+R80)</f>
        <v>2932</v>
      </c>
      <c r="S81" s="46" cm="1">
        <f t="array" ref="S81">IF($N81=12,INDEX($A$32:$J$44,MATCH($M81,$A$32:$A$44,0),MATCH(S$1,$A$1:$J$1,0)),(INDEX($A$32:$J$44,MATCH($M81,$A$32:$A$44,0),MATCH(S$1,$A$1:$J$1,0))-INDEX($A$32:$J$44,MATCH($M81,$A$32:$A$44,0)-1,MATCH(S$1,$A$1:$J$1,0)))/12+S80)</f>
        <v>30.666666666666657</v>
      </c>
      <c r="T81" s="46" cm="1">
        <f t="array" ref="T81">IF($N81=12,INDEX($A$32:$J$44,MATCH($M81,$A$32:$A$44,0),MATCH(T$1,$A$1:$J$1,0)),(INDEX($A$32:$J$44,MATCH($M81,$A$32:$A$44,0),MATCH(T$1,$A$1:$J$1,0))-INDEX($A$32:$J$44,MATCH($M81,$A$32:$A$44,0)-1,MATCH(T$1,$A$1:$J$1,0)))/12+T80)</f>
        <v>16.333333333333332</v>
      </c>
      <c r="U81" s="46" cm="1">
        <f t="array" ref="U81">IF($N81=12,INDEX($A$32:$J$44,MATCH($M81,$A$32:$A$44,0),MATCH(U$1,$A$1:$J$1,0)),(INDEX($A$32:$J$44,MATCH($M81,$A$32:$A$44,0),MATCH(U$1,$A$1:$J$1,0))-INDEX($A$32:$J$44,MATCH($M81,$A$32:$A$44,0)-1,MATCH(U$1,$A$1:$J$1,0)))/12+U80)</f>
        <v>6</v>
      </c>
      <c r="V81" s="46" cm="1">
        <f t="array" ref="V81">IF($N81=12,INDEX($A$32:$J$44,MATCH($M81,$A$32:$A$44,0),MATCH(V$1,$A$1:$J$1,0)),(INDEX($A$32:$J$44,MATCH($M81,$A$32:$A$44,0),MATCH(V$1,$A$1:$J$1,0))-INDEX($A$32:$J$44,MATCH($M81,$A$32:$A$44,0)-1,MATCH(V$1,$A$1:$J$1,0)))/12+V80)</f>
        <v>14713.333333333328</v>
      </c>
      <c r="W81" s="46" cm="1">
        <f t="array" ref="W81">IF($N81=12,INDEX($A$32:$J$44,MATCH($M81,$A$32:$A$44,0),MATCH(W$1,$A$1:$J$1,0)),(INDEX($A$32:$J$44,MATCH($M81,$A$32:$A$44,0),MATCH(W$1,$A$1:$J$1,0))-INDEX($A$32:$J$44,MATCH($M81,$A$32:$A$44,0)-1,MATCH(W$1,$A$1:$J$1,0)))/12+W80)</f>
        <v>11879.333333333328</v>
      </c>
    </row>
    <row r="82" spans="2:23" x14ac:dyDescent="0.2">
      <c r="B82" s="12"/>
      <c r="C82" s="12"/>
      <c r="D82" s="12"/>
      <c r="E82" s="12"/>
      <c r="F82" s="12"/>
      <c r="G82" s="12"/>
      <c r="H82" s="12"/>
      <c r="L82" s="211">
        <f>'Purchased Power Model'!A83</f>
        <v>42979</v>
      </c>
      <c r="M82" s="212">
        <f>'Purchased Power Model'!B83</f>
        <v>2017</v>
      </c>
      <c r="N82" s="212">
        <f>'Purchased Power Model'!C83</f>
        <v>9</v>
      </c>
      <c r="O82" s="46" cm="1">
        <f t="array" ref="O82">IF($N82=12,INDEX($A$32:$J$44,MATCH($M82,$A$32:$A$44,0),MATCH(O$1,$A$1:$J$1,0)),(INDEX($A$32:$J$44,MATCH($M82,$A$32:$A$44,0),MATCH(O$1,$A$1:$J$1,0))-INDEX($A$32:$J$44,MATCH($M82,$A$32:$A$44,0)-1,MATCH(O$1,$A$1:$J$1,0)))/12+O81)</f>
        <v>10405.749999999995</v>
      </c>
      <c r="P82" s="46" cm="1">
        <f t="array" ref="P82">IF($N82=12,INDEX($A$32:$J$44,MATCH($M82,$A$32:$A$44,0),MATCH(P$1,$A$1:$J$1,0)),(INDEX($A$32:$J$44,MATCH($M82,$A$32:$A$44,0),MATCH(P$1,$A$1:$J$1,0))-INDEX($A$32:$J$44,MATCH($M82,$A$32:$A$44,0)-1,MATCH(P$1,$A$1:$J$1,0)))/12+P81)</f>
        <v>1237.5000000000007</v>
      </c>
      <c r="Q82" s="46" cm="1">
        <f t="array" ref="Q82">IF($N82=12,INDEX($A$32:$J$44,MATCH($M82,$A$32:$A$44,0),MATCH(Q$1,$A$1:$J$1,0)),(INDEX($A$32:$J$44,MATCH($M82,$A$32:$A$44,0),MATCH(Q$1,$A$1:$J$1,0))-INDEX($A$32:$J$44,MATCH($M82,$A$32:$A$44,0)-1,MATCH(Q$1,$A$1:$J$1,0)))/12+Q81)</f>
        <v>95.999999999999957</v>
      </c>
      <c r="R82" s="46" cm="1">
        <f t="array" ref="R82">IF($N82=12,INDEX($A$32:$J$44,MATCH($M82,$A$32:$A$44,0),MATCH(R$1,$A$1:$J$1,0)),(INDEX($A$32:$J$44,MATCH($M82,$A$32:$A$44,0),MATCH(R$1,$A$1:$J$1,0))-INDEX($A$32:$J$44,MATCH($M82,$A$32:$A$44,0)-1,MATCH(R$1,$A$1:$J$1,0)))/12+R81)</f>
        <v>2932</v>
      </c>
      <c r="S82" s="46" cm="1">
        <f t="array" ref="S82">IF($N82=12,INDEX($A$32:$J$44,MATCH($M82,$A$32:$A$44,0),MATCH(S$1,$A$1:$J$1,0)),(INDEX($A$32:$J$44,MATCH($M82,$A$32:$A$44,0),MATCH(S$1,$A$1:$J$1,0))-INDEX($A$32:$J$44,MATCH($M82,$A$32:$A$44,0)-1,MATCH(S$1,$A$1:$J$1,0)))/12+S81)</f>
        <v>30.749999999999989</v>
      </c>
      <c r="T82" s="46" cm="1">
        <f t="array" ref="T82">IF($N82=12,INDEX($A$32:$J$44,MATCH($M82,$A$32:$A$44,0),MATCH(T$1,$A$1:$J$1,0)),(INDEX($A$32:$J$44,MATCH($M82,$A$32:$A$44,0),MATCH(T$1,$A$1:$J$1,0))-INDEX($A$32:$J$44,MATCH($M82,$A$32:$A$44,0)-1,MATCH(T$1,$A$1:$J$1,0)))/12+T81)</f>
        <v>16.5</v>
      </c>
      <c r="U82" s="46" cm="1">
        <f t="array" ref="U82">IF($N82=12,INDEX($A$32:$J$44,MATCH($M82,$A$32:$A$44,0),MATCH(U$1,$A$1:$J$1,0)),(INDEX($A$32:$J$44,MATCH($M82,$A$32:$A$44,0),MATCH(U$1,$A$1:$J$1,0))-INDEX($A$32:$J$44,MATCH($M82,$A$32:$A$44,0)-1,MATCH(U$1,$A$1:$J$1,0)))/12+U81)</f>
        <v>6</v>
      </c>
      <c r="V82" s="46" cm="1">
        <f t="array" ref="V82">IF($N82=12,INDEX($A$32:$J$44,MATCH($M82,$A$32:$A$44,0),MATCH(V$1,$A$1:$J$1,0)),(INDEX($A$32:$J$44,MATCH($M82,$A$32:$A$44,0),MATCH(V$1,$A$1:$J$1,0))-INDEX($A$32:$J$44,MATCH($M82,$A$32:$A$44,0)-1,MATCH(V$1,$A$1:$J$1,0)))/12+V81)</f>
        <v>14724.499999999995</v>
      </c>
      <c r="W82" s="46" cm="1">
        <f t="array" ref="W82">IF($N82=12,INDEX($A$32:$J$44,MATCH($M82,$A$32:$A$44,0),MATCH(W$1,$A$1:$J$1,0)),(INDEX($A$32:$J$44,MATCH($M82,$A$32:$A$44,0),MATCH(W$1,$A$1:$J$1,0))-INDEX($A$32:$J$44,MATCH($M82,$A$32:$A$44,0)-1,MATCH(W$1,$A$1:$J$1,0)))/12+W81)</f>
        <v>11890.249999999995</v>
      </c>
    </row>
    <row r="83" spans="2:23" x14ac:dyDescent="0.2">
      <c r="B83" s="12"/>
      <c r="C83" s="12"/>
      <c r="G83" s="12"/>
      <c r="H83" s="12"/>
      <c r="L83" s="211">
        <f>'Purchased Power Model'!A84</f>
        <v>43009</v>
      </c>
      <c r="M83" s="212">
        <f>'Purchased Power Model'!B84</f>
        <v>2017</v>
      </c>
      <c r="N83" s="212">
        <f>'Purchased Power Model'!C84</f>
        <v>10</v>
      </c>
      <c r="O83" s="46" cm="1">
        <f t="array" ref="O83">IF($N83=12,INDEX($A$32:$J$44,MATCH($M83,$A$32:$A$44,0),MATCH(O$1,$A$1:$J$1,0)),(INDEX($A$32:$J$44,MATCH($M83,$A$32:$A$44,0),MATCH(O$1,$A$1:$J$1,0))-INDEX($A$32:$J$44,MATCH($M83,$A$32:$A$44,0)-1,MATCH(O$1,$A$1:$J$1,0)))/12+O82)</f>
        <v>10416.166666666661</v>
      </c>
      <c r="P83" s="46" cm="1">
        <f t="array" ref="P83">IF($N83=12,INDEX($A$32:$J$44,MATCH($M83,$A$32:$A$44,0),MATCH(P$1,$A$1:$J$1,0)),(INDEX($A$32:$J$44,MATCH($M83,$A$32:$A$44,0),MATCH(P$1,$A$1:$J$1,0))-INDEX($A$32:$J$44,MATCH($M83,$A$32:$A$44,0)-1,MATCH(P$1,$A$1:$J$1,0)))/12+P82)</f>
        <v>1237.6666666666674</v>
      </c>
      <c r="Q83" s="46" cm="1">
        <f t="array" ref="Q83">IF($N83=12,INDEX($A$32:$J$44,MATCH($M83,$A$32:$A$44,0),MATCH(Q$1,$A$1:$J$1,0)),(INDEX($A$32:$J$44,MATCH($M83,$A$32:$A$44,0),MATCH(Q$1,$A$1:$J$1,0))-INDEX($A$32:$J$44,MATCH($M83,$A$32:$A$44,0)-1,MATCH(Q$1,$A$1:$J$1,0)))/12+Q82)</f>
        <v>96.333333333333286</v>
      </c>
      <c r="R83" s="46" cm="1">
        <f t="array" ref="R83">IF($N83=12,INDEX($A$32:$J$44,MATCH($M83,$A$32:$A$44,0),MATCH(R$1,$A$1:$J$1,0)),(INDEX($A$32:$J$44,MATCH($M83,$A$32:$A$44,0),MATCH(R$1,$A$1:$J$1,0))-INDEX($A$32:$J$44,MATCH($M83,$A$32:$A$44,0)-1,MATCH(R$1,$A$1:$J$1,0)))/12+R82)</f>
        <v>2932</v>
      </c>
      <c r="S83" s="46" cm="1">
        <f t="array" ref="S83">IF($N83=12,INDEX($A$32:$J$44,MATCH($M83,$A$32:$A$44,0),MATCH(S$1,$A$1:$J$1,0)),(INDEX($A$32:$J$44,MATCH($M83,$A$32:$A$44,0),MATCH(S$1,$A$1:$J$1,0))-INDEX($A$32:$J$44,MATCH($M83,$A$32:$A$44,0)-1,MATCH(S$1,$A$1:$J$1,0)))/12+S82)</f>
        <v>30.833333333333321</v>
      </c>
      <c r="T83" s="46" cm="1">
        <f t="array" ref="T83">IF($N83=12,INDEX($A$32:$J$44,MATCH($M83,$A$32:$A$44,0),MATCH(T$1,$A$1:$J$1,0)),(INDEX($A$32:$J$44,MATCH($M83,$A$32:$A$44,0),MATCH(T$1,$A$1:$J$1,0))-INDEX($A$32:$J$44,MATCH($M83,$A$32:$A$44,0)-1,MATCH(T$1,$A$1:$J$1,0)))/12+T82)</f>
        <v>16.666666666666668</v>
      </c>
      <c r="U83" s="46" cm="1">
        <f t="array" ref="U83">IF($N83=12,INDEX($A$32:$J$44,MATCH($M83,$A$32:$A$44,0),MATCH(U$1,$A$1:$J$1,0)),(INDEX($A$32:$J$44,MATCH($M83,$A$32:$A$44,0),MATCH(U$1,$A$1:$J$1,0))-INDEX($A$32:$J$44,MATCH($M83,$A$32:$A$44,0)-1,MATCH(U$1,$A$1:$J$1,0)))/12+U82)</f>
        <v>6</v>
      </c>
      <c r="V83" s="46" cm="1">
        <f t="array" ref="V83">IF($N83=12,INDEX($A$32:$J$44,MATCH($M83,$A$32:$A$44,0),MATCH(V$1,$A$1:$J$1,0)),(INDEX($A$32:$J$44,MATCH($M83,$A$32:$A$44,0),MATCH(V$1,$A$1:$J$1,0))-INDEX($A$32:$J$44,MATCH($M83,$A$32:$A$44,0)-1,MATCH(V$1,$A$1:$J$1,0)))/12+V82)</f>
        <v>14735.666666666661</v>
      </c>
      <c r="W83" s="46" cm="1">
        <f t="array" ref="W83">IF($N83=12,INDEX($A$32:$J$44,MATCH($M83,$A$32:$A$44,0),MATCH(W$1,$A$1:$J$1,0)),(INDEX($A$32:$J$44,MATCH($M83,$A$32:$A$44,0),MATCH(W$1,$A$1:$J$1,0))-INDEX($A$32:$J$44,MATCH($M83,$A$32:$A$44,0)-1,MATCH(W$1,$A$1:$J$1,0)))/12+W82)</f>
        <v>11901.166666666661</v>
      </c>
    </row>
    <row r="84" spans="2:23" x14ac:dyDescent="0.2">
      <c r="L84" s="211">
        <f>'Purchased Power Model'!A85</f>
        <v>43040</v>
      </c>
      <c r="M84" s="212">
        <f>'Purchased Power Model'!B85</f>
        <v>2017</v>
      </c>
      <c r="N84" s="212">
        <f>'Purchased Power Model'!C85</f>
        <v>11</v>
      </c>
      <c r="O84" s="46" cm="1">
        <f t="array" ref="O84">IF($N84=12,INDEX($A$32:$J$44,MATCH($M84,$A$32:$A$44,0),MATCH(O$1,$A$1:$J$1,0)),(INDEX($A$32:$J$44,MATCH($M84,$A$32:$A$44,0),MATCH(O$1,$A$1:$J$1,0))-INDEX($A$32:$J$44,MATCH($M84,$A$32:$A$44,0)-1,MATCH(O$1,$A$1:$J$1,0)))/12+O83)</f>
        <v>10426.583333333327</v>
      </c>
      <c r="P84" s="46" cm="1">
        <f t="array" ref="P84">IF($N84=12,INDEX($A$32:$J$44,MATCH($M84,$A$32:$A$44,0),MATCH(P$1,$A$1:$J$1,0)),(INDEX($A$32:$J$44,MATCH($M84,$A$32:$A$44,0),MATCH(P$1,$A$1:$J$1,0))-INDEX($A$32:$J$44,MATCH($M84,$A$32:$A$44,0)-1,MATCH(P$1,$A$1:$J$1,0)))/12+P83)</f>
        <v>1237.8333333333342</v>
      </c>
      <c r="Q84" s="46" cm="1">
        <f t="array" ref="Q84">IF($N84=12,INDEX($A$32:$J$44,MATCH($M84,$A$32:$A$44,0),MATCH(Q$1,$A$1:$J$1,0)),(INDEX($A$32:$J$44,MATCH($M84,$A$32:$A$44,0),MATCH(Q$1,$A$1:$J$1,0))-INDEX($A$32:$J$44,MATCH($M84,$A$32:$A$44,0)-1,MATCH(Q$1,$A$1:$J$1,0)))/12+Q83)</f>
        <v>96.666666666666615</v>
      </c>
      <c r="R84" s="46" cm="1">
        <f t="array" ref="R84">IF($N84=12,INDEX($A$32:$J$44,MATCH($M84,$A$32:$A$44,0),MATCH(R$1,$A$1:$J$1,0)),(INDEX($A$32:$J$44,MATCH($M84,$A$32:$A$44,0),MATCH(R$1,$A$1:$J$1,0))-INDEX($A$32:$J$44,MATCH($M84,$A$32:$A$44,0)-1,MATCH(R$1,$A$1:$J$1,0)))/12+R83)</f>
        <v>2932</v>
      </c>
      <c r="S84" s="46" cm="1">
        <f t="array" ref="S84">IF($N84=12,INDEX($A$32:$J$44,MATCH($M84,$A$32:$A$44,0),MATCH(S$1,$A$1:$J$1,0)),(INDEX($A$32:$J$44,MATCH($M84,$A$32:$A$44,0),MATCH(S$1,$A$1:$J$1,0))-INDEX($A$32:$J$44,MATCH($M84,$A$32:$A$44,0)-1,MATCH(S$1,$A$1:$J$1,0)))/12+S83)</f>
        <v>30.916666666666654</v>
      </c>
      <c r="T84" s="46" cm="1">
        <f t="array" ref="T84">IF($N84=12,INDEX($A$32:$J$44,MATCH($M84,$A$32:$A$44,0),MATCH(T$1,$A$1:$J$1,0)),(INDEX($A$32:$J$44,MATCH($M84,$A$32:$A$44,0),MATCH(T$1,$A$1:$J$1,0))-INDEX($A$32:$J$44,MATCH($M84,$A$32:$A$44,0)-1,MATCH(T$1,$A$1:$J$1,0)))/12+T83)</f>
        <v>16.833333333333336</v>
      </c>
      <c r="U84" s="46" cm="1">
        <f t="array" ref="U84">IF($N84=12,INDEX($A$32:$J$44,MATCH($M84,$A$32:$A$44,0),MATCH(U$1,$A$1:$J$1,0)),(INDEX($A$32:$J$44,MATCH($M84,$A$32:$A$44,0),MATCH(U$1,$A$1:$J$1,0))-INDEX($A$32:$J$44,MATCH($M84,$A$32:$A$44,0)-1,MATCH(U$1,$A$1:$J$1,0)))/12+U83)</f>
        <v>6</v>
      </c>
      <c r="V84" s="46" cm="1">
        <f t="array" ref="V84">IF($N84=12,INDEX($A$32:$J$44,MATCH($M84,$A$32:$A$44,0),MATCH(V$1,$A$1:$J$1,0)),(INDEX($A$32:$J$44,MATCH($M84,$A$32:$A$44,0),MATCH(V$1,$A$1:$J$1,0))-INDEX($A$32:$J$44,MATCH($M84,$A$32:$A$44,0)-1,MATCH(V$1,$A$1:$J$1,0)))/12+V83)</f>
        <v>14746.833333333327</v>
      </c>
      <c r="W84" s="46" cm="1">
        <f t="array" ref="W84">IF($N84=12,INDEX($A$32:$J$44,MATCH($M84,$A$32:$A$44,0),MATCH(W$1,$A$1:$J$1,0)),(INDEX($A$32:$J$44,MATCH($M84,$A$32:$A$44,0),MATCH(W$1,$A$1:$J$1,0))-INDEX($A$32:$J$44,MATCH($M84,$A$32:$A$44,0)-1,MATCH(W$1,$A$1:$J$1,0)))/12+W83)</f>
        <v>11912.083333333327</v>
      </c>
    </row>
    <row r="85" spans="2:23" x14ac:dyDescent="0.2">
      <c r="L85" s="211">
        <f>'Purchased Power Model'!A86</f>
        <v>43070</v>
      </c>
      <c r="M85" s="212">
        <f>'Purchased Power Model'!B86</f>
        <v>2017</v>
      </c>
      <c r="N85" s="212">
        <f>'Purchased Power Model'!C86</f>
        <v>12</v>
      </c>
      <c r="O85" s="46" cm="1">
        <f t="array" ref="O85">IF($N85=12,INDEX($A$32:$J$44,MATCH($M85,$A$32:$A$44,0),MATCH(O$1,$A$1:$J$1,0)),(INDEX($A$32:$J$44,MATCH($M85,$A$32:$A$44,0),MATCH(O$1,$A$1:$J$1,0))-INDEX($A$32:$J$44,MATCH($M85,$A$32:$A$44,0)-1,MATCH(O$1,$A$1:$J$1,0)))/12+O84)</f>
        <v>10437</v>
      </c>
      <c r="P85" s="46" cm="1">
        <f t="array" ref="P85">IF($N85=12,INDEX($A$32:$J$44,MATCH($M85,$A$32:$A$44,0),MATCH(P$1,$A$1:$J$1,0)),(INDEX($A$32:$J$44,MATCH($M85,$A$32:$A$44,0),MATCH(P$1,$A$1:$J$1,0))-INDEX($A$32:$J$44,MATCH($M85,$A$32:$A$44,0)-1,MATCH(P$1,$A$1:$J$1,0)))/12+P84)</f>
        <v>1238</v>
      </c>
      <c r="Q85" s="46" cm="1">
        <f t="array" ref="Q85">IF($N85=12,INDEX($A$32:$J$44,MATCH($M85,$A$32:$A$44,0),MATCH(Q$1,$A$1:$J$1,0)),(INDEX($A$32:$J$44,MATCH($M85,$A$32:$A$44,0),MATCH(Q$1,$A$1:$J$1,0))-INDEX($A$32:$J$44,MATCH($M85,$A$32:$A$44,0)-1,MATCH(Q$1,$A$1:$J$1,0)))/12+Q84)</f>
        <v>97</v>
      </c>
      <c r="R85" s="46" cm="1">
        <f t="array" ref="R85">IF($N85=12,INDEX($A$32:$J$44,MATCH($M85,$A$32:$A$44,0),MATCH(R$1,$A$1:$J$1,0)),(INDEX($A$32:$J$44,MATCH($M85,$A$32:$A$44,0),MATCH(R$1,$A$1:$J$1,0))-INDEX($A$32:$J$44,MATCH($M85,$A$32:$A$44,0)-1,MATCH(R$1,$A$1:$J$1,0)))/12+R84)</f>
        <v>2932</v>
      </c>
      <c r="S85" s="46" cm="1">
        <f t="array" ref="S85">IF($N85=12,INDEX($A$32:$J$44,MATCH($M85,$A$32:$A$44,0),MATCH(S$1,$A$1:$J$1,0)),(INDEX($A$32:$J$44,MATCH($M85,$A$32:$A$44,0),MATCH(S$1,$A$1:$J$1,0))-INDEX($A$32:$J$44,MATCH($M85,$A$32:$A$44,0)-1,MATCH(S$1,$A$1:$J$1,0)))/12+S84)</f>
        <v>31</v>
      </c>
      <c r="T85" s="46" cm="1">
        <f t="array" ref="T85">IF($N85=12,INDEX($A$32:$J$44,MATCH($M85,$A$32:$A$44,0),MATCH(T$1,$A$1:$J$1,0)),(INDEX($A$32:$J$44,MATCH($M85,$A$32:$A$44,0),MATCH(T$1,$A$1:$J$1,0))-INDEX($A$32:$J$44,MATCH($M85,$A$32:$A$44,0)-1,MATCH(T$1,$A$1:$J$1,0)))/12+T84)</f>
        <v>17</v>
      </c>
      <c r="U85" s="46" cm="1">
        <f t="array" ref="U85">IF($N85=12,INDEX($A$32:$J$44,MATCH($M85,$A$32:$A$44,0),MATCH(U$1,$A$1:$J$1,0)),(INDEX($A$32:$J$44,MATCH($M85,$A$32:$A$44,0),MATCH(U$1,$A$1:$J$1,0))-INDEX($A$32:$J$44,MATCH($M85,$A$32:$A$44,0)-1,MATCH(U$1,$A$1:$J$1,0)))/12+U84)</f>
        <v>6</v>
      </c>
      <c r="V85" s="46" cm="1">
        <f t="array" ref="V85">IF($N85=12,INDEX($A$32:$J$44,MATCH($M85,$A$32:$A$44,0),MATCH(V$1,$A$1:$J$1,0)),(INDEX($A$32:$J$44,MATCH($M85,$A$32:$A$44,0),MATCH(V$1,$A$1:$J$1,0))-INDEX($A$32:$J$44,MATCH($M85,$A$32:$A$44,0)-1,MATCH(V$1,$A$1:$J$1,0)))/12+V84)</f>
        <v>14758</v>
      </c>
      <c r="W85" s="46" cm="1">
        <f t="array" ref="W85">IF($N85=12,INDEX($A$32:$J$44,MATCH($M85,$A$32:$A$44,0),MATCH(W$1,$A$1:$J$1,0)),(INDEX($A$32:$J$44,MATCH($M85,$A$32:$A$44,0),MATCH(W$1,$A$1:$J$1,0))-INDEX($A$32:$J$44,MATCH($M85,$A$32:$A$44,0)-1,MATCH(W$1,$A$1:$J$1,0)))/12+W84)</f>
        <v>11923</v>
      </c>
    </row>
    <row r="86" spans="2:23" x14ac:dyDescent="0.2">
      <c r="L86" s="211">
        <f>'Purchased Power Model'!A87</f>
        <v>43101</v>
      </c>
      <c r="M86" s="212">
        <f>'Purchased Power Model'!B87</f>
        <v>2018</v>
      </c>
      <c r="N86" s="212">
        <f>'Purchased Power Model'!C87</f>
        <v>1</v>
      </c>
      <c r="O86" s="46" cm="1">
        <f t="array" ref="O86">IF($N86=12,INDEX($A$32:$J$44,MATCH($M86,$A$32:$A$44,0),MATCH(O$1,$A$1:$J$1,0)),(INDEX($A$32:$J$44,MATCH($M86,$A$32:$A$44,0),MATCH(O$1,$A$1:$J$1,0))-INDEX($A$32:$J$44,MATCH($M86,$A$32:$A$44,0)-1,MATCH(O$1,$A$1:$J$1,0)))/12+O85)</f>
        <v>10448.25</v>
      </c>
      <c r="P86" s="46" cm="1">
        <f t="array" ref="P86">IF($N86=12,INDEX($A$32:$J$44,MATCH($M86,$A$32:$A$44,0),MATCH(P$1,$A$1:$J$1,0)),(INDEX($A$32:$J$44,MATCH($M86,$A$32:$A$44,0),MATCH(P$1,$A$1:$J$1,0))-INDEX($A$32:$J$44,MATCH($M86,$A$32:$A$44,0)-1,MATCH(P$1,$A$1:$J$1,0)))/12+P85)</f>
        <v>1238</v>
      </c>
      <c r="Q86" s="46" cm="1">
        <f t="array" ref="Q86">IF($N86=12,INDEX($A$32:$J$44,MATCH($M86,$A$32:$A$44,0),MATCH(Q$1,$A$1:$J$1,0)),(INDEX($A$32:$J$44,MATCH($M86,$A$32:$A$44,0),MATCH(Q$1,$A$1:$J$1,0))-INDEX($A$32:$J$44,MATCH($M86,$A$32:$A$44,0)-1,MATCH(Q$1,$A$1:$J$1,0)))/12+Q85)</f>
        <v>96.75</v>
      </c>
      <c r="R86" s="46" cm="1">
        <f t="array" ref="R86">IF($N86=12,INDEX($A$32:$J$44,MATCH($M86,$A$32:$A$44,0),MATCH(R$1,$A$1:$J$1,0)),(INDEX($A$32:$J$44,MATCH($M86,$A$32:$A$44,0),MATCH(R$1,$A$1:$J$1,0))-INDEX($A$32:$J$44,MATCH($M86,$A$32:$A$44,0)-1,MATCH(R$1,$A$1:$J$1,0)))/12+R85)</f>
        <v>2935.8333333333335</v>
      </c>
      <c r="S86" s="46" cm="1">
        <f t="array" ref="S86">IF($N86=12,INDEX($A$32:$J$44,MATCH($M86,$A$32:$A$44,0),MATCH(S$1,$A$1:$J$1,0)),(INDEX($A$32:$J$44,MATCH($M86,$A$32:$A$44,0),MATCH(S$1,$A$1:$J$1,0))-INDEX($A$32:$J$44,MATCH($M86,$A$32:$A$44,0)-1,MATCH(S$1,$A$1:$J$1,0)))/12+S85)</f>
        <v>31.083333333333332</v>
      </c>
      <c r="T86" s="46" cm="1">
        <f t="array" ref="T86">IF($N86=12,INDEX($A$32:$J$44,MATCH($M86,$A$32:$A$44,0),MATCH(T$1,$A$1:$J$1,0)),(INDEX($A$32:$J$44,MATCH($M86,$A$32:$A$44,0),MATCH(T$1,$A$1:$J$1,0))-INDEX($A$32:$J$44,MATCH($M86,$A$32:$A$44,0)-1,MATCH(T$1,$A$1:$J$1,0)))/12+T85)</f>
        <v>17</v>
      </c>
      <c r="U86" s="46" cm="1">
        <f t="array" ref="U86">IF($N86=12,INDEX($A$32:$J$44,MATCH($M86,$A$32:$A$44,0),MATCH(U$1,$A$1:$J$1,0)),(INDEX($A$32:$J$44,MATCH($M86,$A$32:$A$44,0),MATCH(U$1,$A$1:$J$1,0))-INDEX($A$32:$J$44,MATCH($M86,$A$32:$A$44,0)-1,MATCH(U$1,$A$1:$J$1,0)))/12+U85)</f>
        <v>6</v>
      </c>
      <c r="V86" s="46" cm="1">
        <f t="array" ref="V86">IF($N86=12,INDEX($A$32:$J$44,MATCH($M86,$A$32:$A$44,0),MATCH(V$1,$A$1:$J$1,0)),(INDEX($A$32:$J$44,MATCH($M86,$A$32:$A$44,0),MATCH(V$1,$A$1:$J$1,0))-INDEX($A$32:$J$44,MATCH($M86,$A$32:$A$44,0)-1,MATCH(V$1,$A$1:$J$1,0)))/12+V85)</f>
        <v>14772.916666666666</v>
      </c>
      <c r="W86" s="46" cm="1">
        <f t="array" ref="W86">IF($N86=12,INDEX($A$32:$J$44,MATCH($M86,$A$32:$A$44,0),MATCH(W$1,$A$1:$J$1,0)),(INDEX($A$32:$J$44,MATCH($M86,$A$32:$A$44,0),MATCH(W$1,$A$1:$J$1,0))-INDEX($A$32:$J$44,MATCH($M86,$A$32:$A$44,0)-1,MATCH(W$1,$A$1:$J$1,0)))/12+W85)</f>
        <v>11934</v>
      </c>
    </row>
    <row r="87" spans="2:23" x14ac:dyDescent="0.2">
      <c r="L87" s="211">
        <f>'Purchased Power Model'!A88</f>
        <v>43132</v>
      </c>
      <c r="M87" s="212">
        <f>'Purchased Power Model'!B88</f>
        <v>2018</v>
      </c>
      <c r="N87" s="212">
        <f>'Purchased Power Model'!C88</f>
        <v>2</v>
      </c>
      <c r="O87" s="46" cm="1">
        <f t="array" ref="O87">IF($N87=12,INDEX($A$32:$J$44,MATCH($M87,$A$32:$A$44,0),MATCH(O$1,$A$1:$J$1,0)),(INDEX($A$32:$J$44,MATCH($M87,$A$32:$A$44,0),MATCH(O$1,$A$1:$J$1,0))-INDEX($A$32:$J$44,MATCH($M87,$A$32:$A$44,0)-1,MATCH(O$1,$A$1:$J$1,0)))/12+O86)</f>
        <v>10459.5</v>
      </c>
      <c r="P87" s="46" cm="1">
        <f t="array" ref="P87">IF($N87=12,INDEX($A$32:$J$44,MATCH($M87,$A$32:$A$44,0),MATCH(P$1,$A$1:$J$1,0)),(INDEX($A$32:$J$44,MATCH($M87,$A$32:$A$44,0),MATCH(P$1,$A$1:$J$1,0))-INDEX($A$32:$J$44,MATCH($M87,$A$32:$A$44,0)-1,MATCH(P$1,$A$1:$J$1,0)))/12+P86)</f>
        <v>1238</v>
      </c>
      <c r="Q87" s="46" cm="1">
        <f t="array" ref="Q87">IF($N87=12,INDEX($A$32:$J$44,MATCH($M87,$A$32:$A$44,0),MATCH(Q$1,$A$1:$J$1,0)),(INDEX($A$32:$J$44,MATCH($M87,$A$32:$A$44,0),MATCH(Q$1,$A$1:$J$1,0))-INDEX($A$32:$J$44,MATCH($M87,$A$32:$A$44,0)-1,MATCH(Q$1,$A$1:$J$1,0)))/12+Q86)</f>
        <v>96.5</v>
      </c>
      <c r="R87" s="46" cm="1">
        <f t="array" ref="R87">IF($N87=12,INDEX($A$32:$J$44,MATCH($M87,$A$32:$A$44,0),MATCH(R$1,$A$1:$J$1,0)),(INDEX($A$32:$J$44,MATCH($M87,$A$32:$A$44,0),MATCH(R$1,$A$1:$J$1,0))-INDEX($A$32:$J$44,MATCH($M87,$A$32:$A$44,0)-1,MATCH(R$1,$A$1:$J$1,0)))/12+R86)</f>
        <v>2939.666666666667</v>
      </c>
      <c r="S87" s="46" cm="1">
        <f t="array" ref="S87">IF($N87=12,INDEX($A$32:$J$44,MATCH($M87,$A$32:$A$44,0),MATCH(S$1,$A$1:$J$1,0)),(INDEX($A$32:$J$44,MATCH($M87,$A$32:$A$44,0),MATCH(S$1,$A$1:$J$1,0))-INDEX($A$32:$J$44,MATCH($M87,$A$32:$A$44,0)-1,MATCH(S$1,$A$1:$J$1,0)))/12+S86)</f>
        <v>31.166666666666664</v>
      </c>
      <c r="T87" s="46" cm="1">
        <f t="array" ref="T87">IF($N87=12,INDEX($A$32:$J$44,MATCH($M87,$A$32:$A$44,0),MATCH(T$1,$A$1:$J$1,0)),(INDEX($A$32:$J$44,MATCH($M87,$A$32:$A$44,0),MATCH(T$1,$A$1:$J$1,0))-INDEX($A$32:$J$44,MATCH($M87,$A$32:$A$44,0)-1,MATCH(T$1,$A$1:$J$1,0)))/12+T86)</f>
        <v>17</v>
      </c>
      <c r="U87" s="46" cm="1">
        <f t="array" ref="U87">IF($N87=12,INDEX($A$32:$J$44,MATCH($M87,$A$32:$A$44,0),MATCH(U$1,$A$1:$J$1,0)),(INDEX($A$32:$J$44,MATCH($M87,$A$32:$A$44,0),MATCH(U$1,$A$1:$J$1,0))-INDEX($A$32:$J$44,MATCH($M87,$A$32:$A$44,0)-1,MATCH(U$1,$A$1:$J$1,0)))/12+U86)</f>
        <v>6</v>
      </c>
      <c r="V87" s="46" cm="1">
        <f t="array" ref="V87">IF($N87=12,INDEX($A$32:$J$44,MATCH($M87,$A$32:$A$44,0),MATCH(V$1,$A$1:$J$1,0)),(INDEX($A$32:$J$44,MATCH($M87,$A$32:$A$44,0),MATCH(V$1,$A$1:$J$1,0))-INDEX($A$32:$J$44,MATCH($M87,$A$32:$A$44,0)-1,MATCH(V$1,$A$1:$J$1,0)))/12+V86)</f>
        <v>14787.833333333332</v>
      </c>
      <c r="W87" s="46" cm="1">
        <f t="array" ref="W87">IF($N87=12,INDEX($A$32:$J$44,MATCH($M87,$A$32:$A$44,0),MATCH(W$1,$A$1:$J$1,0)),(INDEX($A$32:$J$44,MATCH($M87,$A$32:$A$44,0),MATCH(W$1,$A$1:$J$1,0))-INDEX($A$32:$J$44,MATCH($M87,$A$32:$A$44,0)-1,MATCH(W$1,$A$1:$J$1,0)))/12+W86)</f>
        <v>11945</v>
      </c>
    </row>
    <row r="88" spans="2:23" x14ac:dyDescent="0.2">
      <c r="L88" s="211">
        <f>'Purchased Power Model'!A89</f>
        <v>43160</v>
      </c>
      <c r="M88" s="212">
        <f>'Purchased Power Model'!B89</f>
        <v>2018</v>
      </c>
      <c r="N88" s="212">
        <f>'Purchased Power Model'!C89</f>
        <v>3</v>
      </c>
      <c r="O88" s="46" cm="1">
        <f t="array" ref="O88">IF($N88=12,INDEX($A$32:$J$44,MATCH($M88,$A$32:$A$44,0),MATCH(O$1,$A$1:$J$1,0)),(INDEX($A$32:$J$44,MATCH($M88,$A$32:$A$44,0),MATCH(O$1,$A$1:$J$1,0))-INDEX($A$32:$J$44,MATCH($M88,$A$32:$A$44,0)-1,MATCH(O$1,$A$1:$J$1,0)))/12+O87)</f>
        <v>10470.75</v>
      </c>
      <c r="P88" s="46" cm="1">
        <f t="array" ref="P88">IF($N88=12,INDEX($A$32:$J$44,MATCH($M88,$A$32:$A$44,0),MATCH(P$1,$A$1:$J$1,0)),(INDEX($A$32:$J$44,MATCH($M88,$A$32:$A$44,0),MATCH(P$1,$A$1:$J$1,0))-INDEX($A$32:$J$44,MATCH($M88,$A$32:$A$44,0)-1,MATCH(P$1,$A$1:$J$1,0)))/12+P87)</f>
        <v>1238</v>
      </c>
      <c r="Q88" s="46" cm="1">
        <f t="array" ref="Q88">IF($N88=12,INDEX($A$32:$J$44,MATCH($M88,$A$32:$A$44,0),MATCH(Q$1,$A$1:$J$1,0)),(INDEX($A$32:$J$44,MATCH($M88,$A$32:$A$44,0),MATCH(Q$1,$A$1:$J$1,0))-INDEX($A$32:$J$44,MATCH($M88,$A$32:$A$44,0)-1,MATCH(Q$1,$A$1:$J$1,0)))/12+Q87)</f>
        <v>96.25</v>
      </c>
      <c r="R88" s="46" cm="1">
        <f t="array" ref="R88">IF($N88=12,INDEX($A$32:$J$44,MATCH($M88,$A$32:$A$44,0),MATCH(R$1,$A$1:$J$1,0)),(INDEX($A$32:$J$44,MATCH($M88,$A$32:$A$44,0),MATCH(R$1,$A$1:$J$1,0))-INDEX($A$32:$J$44,MATCH($M88,$A$32:$A$44,0)-1,MATCH(R$1,$A$1:$J$1,0)))/12+R87)</f>
        <v>2943.5000000000005</v>
      </c>
      <c r="S88" s="46" cm="1">
        <f t="array" ref="S88">IF($N88=12,INDEX($A$32:$J$44,MATCH($M88,$A$32:$A$44,0),MATCH(S$1,$A$1:$J$1,0)),(INDEX($A$32:$J$44,MATCH($M88,$A$32:$A$44,0),MATCH(S$1,$A$1:$J$1,0))-INDEX($A$32:$J$44,MATCH($M88,$A$32:$A$44,0)-1,MATCH(S$1,$A$1:$J$1,0)))/12+S87)</f>
        <v>31.249999999999996</v>
      </c>
      <c r="T88" s="46" cm="1">
        <f t="array" ref="T88">IF($N88=12,INDEX($A$32:$J$44,MATCH($M88,$A$32:$A$44,0),MATCH(T$1,$A$1:$J$1,0)),(INDEX($A$32:$J$44,MATCH($M88,$A$32:$A$44,0),MATCH(T$1,$A$1:$J$1,0))-INDEX($A$32:$J$44,MATCH($M88,$A$32:$A$44,0)-1,MATCH(T$1,$A$1:$J$1,0)))/12+T87)</f>
        <v>17</v>
      </c>
      <c r="U88" s="46" cm="1">
        <f t="array" ref="U88">IF($N88=12,INDEX($A$32:$J$44,MATCH($M88,$A$32:$A$44,0),MATCH(U$1,$A$1:$J$1,0)),(INDEX($A$32:$J$44,MATCH($M88,$A$32:$A$44,0),MATCH(U$1,$A$1:$J$1,0))-INDEX($A$32:$J$44,MATCH($M88,$A$32:$A$44,0)-1,MATCH(U$1,$A$1:$J$1,0)))/12+U87)</f>
        <v>6</v>
      </c>
      <c r="V88" s="46" cm="1">
        <f t="array" ref="V88">IF($N88=12,INDEX($A$32:$J$44,MATCH($M88,$A$32:$A$44,0),MATCH(V$1,$A$1:$J$1,0)),(INDEX($A$32:$J$44,MATCH($M88,$A$32:$A$44,0),MATCH(V$1,$A$1:$J$1,0))-INDEX($A$32:$J$44,MATCH($M88,$A$32:$A$44,0)-1,MATCH(V$1,$A$1:$J$1,0)))/12+V87)</f>
        <v>14802.749999999998</v>
      </c>
      <c r="W88" s="46" cm="1">
        <f t="array" ref="W88">IF($N88=12,INDEX($A$32:$J$44,MATCH($M88,$A$32:$A$44,0),MATCH(W$1,$A$1:$J$1,0)),(INDEX($A$32:$J$44,MATCH($M88,$A$32:$A$44,0),MATCH(W$1,$A$1:$J$1,0))-INDEX($A$32:$J$44,MATCH($M88,$A$32:$A$44,0)-1,MATCH(W$1,$A$1:$J$1,0)))/12+W87)</f>
        <v>11956</v>
      </c>
    </row>
    <row r="89" spans="2:23" x14ac:dyDescent="0.2">
      <c r="L89" s="211">
        <f>'Purchased Power Model'!A90</f>
        <v>43191</v>
      </c>
      <c r="M89" s="212">
        <f>'Purchased Power Model'!B90</f>
        <v>2018</v>
      </c>
      <c r="N89" s="212">
        <f>'Purchased Power Model'!C90</f>
        <v>4</v>
      </c>
      <c r="O89" s="46" cm="1">
        <f t="array" ref="O89">IF($N89=12,INDEX($A$32:$J$44,MATCH($M89,$A$32:$A$44,0),MATCH(O$1,$A$1:$J$1,0)),(INDEX($A$32:$J$44,MATCH($M89,$A$32:$A$44,0),MATCH(O$1,$A$1:$J$1,0))-INDEX($A$32:$J$44,MATCH($M89,$A$32:$A$44,0)-1,MATCH(O$1,$A$1:$J$1,0)))/12+O88)</f>
        <v>10482</v>
      </c>
      <c r="P89" s="46" cm="1">
        <f t="array" ref="P89">IF($N89=12,INDEX($A$32:$J$44,MATCH($M89,$A$32:$A$44,0),MATCH(P$1,$A$1:$J$1,0)),(INDEX($A$32:$J$44,MATCH($M89,$A$32:$A$44,0),MATCH(P$1,$A$1:$J$1,0))-INDEX($A$32:$J$44,MATCH($M89,$A$32:$A$44,0)-1,MATCH(P$1,$A$1:$J$1,0)))/12+P88)</f>
        <v>1238</v>
      </c>
      <c r="Q89" s="46" cm="1">
        <f t="array" ref="Q89">IF($N89=12,INDEX($A$32:$J$44,MATCH($M89,$A$32:$A$44,0),MATCH(Q$1,$A$1:$J$1,0)),(INDEX($A$32:$J$44,MATCH($M89,$A$32:$A$44,0),MATCH(Q$1,$A$1:$J$1,0))-INDEX($A$32:$J$44,MATCH($M89,$A$32:$A$44,0)-1,MATCH(Q$1,$A$1:$J$1,0)))/12+Q88)</f>
        <v>96</v>
      </c>
      <c r="R89" s="46" cm="1">
        <f t="array" ref="R89">IF($N89=12,INDEX($A$32:$J$44,MATCH($M89,$A$32:$A$44,0),MATCH(R$1,$A$1:$J$1,0)),(INDEX($A$32:$J$44,MATCH($M89,$A$32:$A$44,0),MATCH(R$1,$A$1:$J$1,0))-INDEX($A$32:$J$44,MATCH($M89,$A$32:$A$44,0)-1,MATCH(R$1,$A$1:$J$1,0)))/12+R88)</f>
        <v>2947.3333333333339</v>
      </c>
      <c r="S89" s="46" cm="1">
        <f t="array" ref="S89">IF($N89=12,INDEX($A$32:$J$44,MATCH($M89,$A$32:$A$44,0),MATCH(S$1,$A$1:$J$1,0)),(INDEX($A$32:$J$44,MATCH($M89,$A$32:$A$44,0),MATCH(S$1,$A$1:$J$1,0))-INDEX($A$32:$J$44,MATCH($M89,$A$32:$A$44,0)-1,MATCH(S$1,$A$1:$J$1,0)))/12+S88)</f>
        <v>31.333333333333329</v>
      </c>
      <c r="T89" s="46" cm="1">
        <f t="array" ref="T89">IF($N89=12,INDEX($A$32:$J$44,MATCH($M89,$A$32:$A$44,0),MATCH(T$1,$A$1:$J$1,0)),(INDEX($A$32:$J$44,MATCH($M89,$A$32:$A$44,0),MATCH(T$1,$A$1:$J$1,0))-INDEX($A$32:$J$44,MATCH($M89,$A$32:$A$44,0)-1,MATCH(T$1,$A$1:$J$1,0)))/12+T88)</f>
        <v>17</v>
      </c>
      <c r="U89" s="46" cm="1">
        <f t="array" ref="U89">IF($N89=12,INDEX($A$32:$J$44,MATCH($M89,$A$32:$A$44,0),MATCH(U$1,$A$1:$J$1,0)),(INDEX($A$32:$J$44,MATCH($M89,$A$32:$A$44,0),MATCH(U$1,$A$1:$J$1,0))-INDEX($A$32:$J$44,MATCH($M89,$A$32:$A$44,0)-1,MATCH(U$1,$A$1:$J$1,0)))/12+U88)</f>
        <v>6</v>
      </c>
      <c r="V89" s="46" cm="1">
        <f t="array" ref="V89">IF($N89=12,INDEX($A$32:$J$44,MATCH($M89,$A$32:$A$44,0),MATCH(V$1,$A$1:$J$1,0)),(INDEX($A$32:$J$44,MATCH($M89,$A$32:$A$44,0),MATCH(V$1,$A$1:$J$1,0))-INDEX($A$32:$J$44,MATCH($M89,$A$32:$A$44,0)-1,MATCH(V$1,$A$1:$J$1,0)))/12+V88)</f>
        <v>14817.666666666664</v>
      </c>
      <c r="W89" s="46" cm="1">
        <f t="array" ref="W89">IF($N89=12,INDEX($A$32:$J$44,MATCH($M89,$A$32:$A$44,0),MATCH(W$1,$A$1:$J$1,0)),(INDEX($A$32:$J$44,MATCH($M89,$A$32:$A$44,0),MATCH(W$1,$A$1:$J$1,0))-INDEX($A$32:$J$44,MATCH($M89,$A$32:$A$44,0)-1,MATCH(W$1,$A$1:$J$1,0)))/12+W88)</f>
        <v>11967</v>
      </c>
    </row>
    <row r="90" spans="2:23" x14ac:dyDescent="0.2">
      <c r="L90" s="211">
        <f>'Purchased Power Model'!A91</f>
        <v>43221</v>
      </c>
      <c r="M90" s="212">
        <f>'Purchased Power Model'!B91</f>
        <v>2018</v>
      </c>
      <c r="N90" s="212">
        <f>'Purchased Power Model'!C91</f>
        <v>5</v>
      </c>
      <c r="O90" s="46" cm="1">
        <f t="array" ref="O90">IF($N90=12,INDEX($A$32:$J$44,MATCH($M90,$A$32:$A$44,0),MATCH(O$1,$A$1:$J$1,0)),(INDEX($A$32:$J$44,MATCH($M90,$A$32:$A$44,0),MATCH(O$1,$A$1:$J$1,0))-INDEX($A$32:$J$44,MATCH($M90,$A$32:$A$44,0)-1,MATCH(O$1,$A$1:$J$1,0)))/12+O89)</f>
        <v>10493.25</v>
      </c>
      <c r="P90" s="46" cm="1">
        <f t="array" ref="P90">IF($N90=12,INDEX($A$32:$J$44,MATCH($M90,$A$32:$A$44,0),MATCH(P$1,$A$1:$J$1,0)),(INDEX($A$32:$J$44,MATCH($M90,$A$32:$A$44,0),MATCH(P$1,$A$1:$J$1,0))-INDEX($A$32:$J$44,MATCH($M90,$A$32:$A$44,0)-1,MATCH(P$1,$A$1:$J$1,0)))/12+P89)</f>
        <v>1238</v>
      </c>
      <c r="Q90" s="46" cm="1">
        <f t="array" ref="Q90">IF($N90=12,INDEX($A$32:$J$44,MATCH($M90,$A$32:$A$44,0),MATCH(Q$1,$A$1:$J$1,0)),(INDEX($A$32:$J$44,MATCH($M90,$A$32:$A$44,0),MATCH(Q$1,$A$1:$J$1,0))-INDEX($A$32:$J$44,MATCH($M90,$A$32:$A$44,0)-1,MATCH(Q$1,$A$1:$J$1,0)))/12+Q89)</f>
        <v>95.75</v>
      </c>
      <c r="R90" s="46" cm="1">
        <f t="array" ref="R90">IF($N90=12,INDEX($A$32:$J$44,MATCH($M90,$A$32:$A$44,0),MATCH(R$1,$A$1:$J$1,0)),(INDEX($A$32:$J$44,MATCH($M90,$A$32:$A$44,0),MATCH(R$1,$A$1:$J$1,0))-INDEX($A$32:$J$44,MATCH($M90,$A$32:$A$44,0)-1,MATCH(R$1,$A$1:$J$1,0)))/12+R89)</f>
        <v>2951.1666666666674</v>
      </c>
      <c r="S90" s="46" cm="1">
        <f t="array" ref="S90">IF($N90=12,INDEX($A$32:$J$44,MATCH($M90,$A$32:$A$44,0),MATCH(S$1,$A$1:$J$1,0)),(INDEX($A$32:$J$44,MATCH($M90,$A$32:$A$44,0),MATCH(S$1,$A$1:$J$1,0))-INDEX($A$32:$J$44,MATCH($M90,$A$32:$A$44,0)-1,MATCH(S$1,$A$1:$J$1,0)))/12+S89)</f>
        <v>31.416666666666661</v>
      </c>
      <c r="T90" s="46" cm="1">
        <f t="array" ref="T90">IF($N90=12,INDEX($A$32:$J$44,MATCH($M90,$A$32:$A$44,0),MATCH(T$1,$A$1:$J$1,0)),(INDEX($A$32:$J$44,MATCH($M90,$A$32:$A$44,0),MATCH(T$1,$A$1:$J$1,0))-INDEX($A$32:$J$44,MATCH($M90,$A$32:$A$44,0)-1,MATCH(T$1,$A$1:$J$1,0)))/12+T89)</f>
        <v>17</v>
      </c>
      <c r="U90" s="46" cm="1">
        <f t="array" ref="U90">IF($N90=12,INDEX($A$32:$J$44,MATCH($M90,$A$32:$A$44,0),MATCH(U$1,$A$1:$J$1,0)),(INDEX($A$32:$J$44,MATCH($M90,$A$32:$A$44,0),MATCH(U$1,$A$1:$J$1,0))-INDEX($A$32:$J$44,MATCH($M90,$A$32:$A$44,0)-1,MATCH(U$1,$A$1:$J$1,0)))/12+U89)</f>
        <v>6</v>
      </c>
      <c r="V90" s="46" cm="1">
        <f t="array" ref="V90">IF($N90=12,INDEX($A$32:$J$44,MATCH($M90,$A$32:$A$44,0),MATCH(V$1,$A$1:$J$1,0)),(INDEX($A$32:$J$44,MATCH($M90,$A$32:$A$44,0),MATCH(V$1,$A$1:$J$1,0))-INDEX($A$32:$J$44,MATCH($M90,$A$32:$A$44,0)-1,MATCH(V$1,$A$1:$J$1,0)))/12+V89)</f>
        <v>14832.58333333333</v>
      </c>
      <c r="W90" s="46" cm="1">
        <f t="array" ref="W90">IF($N90=12,INDEX($A$32:$J$44,MATCH($M90,$A$32:$A$44,0),MATCH(W$1,$A$1:$J$1,0)),(INDEX($A$32:$J$44,MATCH($M90,$A$32:$A$44,0),MATCH(W$1,$A$1:$J$1,0))-INDEX($A$32:$J$44,MATCH($M90,$A$32:$A$44,0)-1,MATCH(W$1,$A$1:$J$1,0)))/12+W89)</f>
        <v>11978</v>
      </c>
    </row>
    <row r="91" spans="2:23" x14ac:dyDescent="0.2">
      <c r="L91" s="211">
        <f>'Purchased Power Model'!A92</f>
        <v>43252</v>
      </c>
      <c r="M91" s="212">
        <f>'Purchased Power Model'!B92</f>
        <v>2018</v>
      </c>
      <c r="N91" s="212">
        <f>'Purchased Power Model'!C92</f>
        <v>6</v>
      </c>
      <c r="O91" s="46" cm="1">
        <f t="array" ref="O91">IF($N91=12,INDEX($A$32:$J$44,MATCH($M91,$A$32:$A$44,0),MATCH(O$1,$A$1:$J$1,0)),(INDEX($A$32:$J$44,MATCH($M91,$A$32:$A$44,0),MATCH(O$1,$A$1:$J$1,0))-INDEX($A$32:$J$44,MATCH($M91,$A$32:$A$44,0)-1,MATCH(O$1,$A$1:$J$1,0)))/12+O90)</f>
        <v>10504.5</v>
      </c>
      <c r="P91" s="46" cm="1">
        <f t="array" ref="P91">IF($N91=12,INDEX($A$32:$J$44,MATCH($M91,$A$32:$A$44,0),MATCH(P$1,$A$1:$J$1,0)),(INDEX($A$32:$J$44,MATCH($M91,$A$32:$A$44,0),MATCH(P$1,$A$1:$J$1,0))-INDEX($A$32:$J$44,MATCH($M91,$A$32:$A$44,0)-1,MATCH(P$1,$A$1:$J$1,0)))/12+P90)</f>
        <v>1238</v>
      </c>
      <c r="Q91" s="46" cm="1">
        <f t="array" ref="Q91">IF($N91=12,INDEX($A$32:$J$44,MATCH($M91,$A$32:$A$44,0),MATCH(Q$1,$A$1:$J$1,0)),(INDEX($A$32:$J$44,MATCH($M91,$A$32:$A$44,0),MATCH(Q$1,$A$1:$J$1,0))-INDEX($A$32:$J$44,MATCH($M91,$A$32:$A$44,0)-1,MATCH(Q$1,$A$1:$J$1,0)))/12+Q90)</f>
        <v>95.5</v>
      </c>
      <c r="R91" s="46" cm="1">
        <f t="array" ref="R91">IF($N91=12,INDEX($A$32:$J$44,MATCH($M91,$A$32:$A$44,0),MATCH(R$1,$A$1:$J$1,0)),(INDEX($A$32:$J$44,MATCH($M91,$A$32:$A$44,0),MATCH(R$1,$A$1:$J$1,0))-INDEX($A$32:$J$44,MATCH($M91,$A$32:$A$44,0)-1,MATCH(R$1,$A$1:$J$1,0)))/12+R90)</f>
        <v>2955.0000000000009</v>
      </c>
      <c r="S91" s="46" cm="1">
        <f t="array" ref="S91">IF($N91=12,INDEX($A$32:$J$44,MATCH($M91,$A$32:$A$44,0),MATCH(S$1,$A$1:$J$1,0)),(INDEX($A$32:$J$44,MATCH($M91,$A$32:$A$44,0),MATCH(S$1,$A$1:$J$1,0))-INDEX($A$32:$J$44,MATCH($M91,$A$32:$A$44,0)-1,MATCH(S$1,$A$1:$J$1,0)))/12+S90)</f>
        <v>31.499999999999993</v>
      </c>
      <c r="T91" s="46" cm="1">
        <f t="array" ref="T91">IF($N91=12,INDEX($A$32:$J$44,MATCH($M91,$A$32:$A$44,0),MATCH(T$1,$A$1:$J$1,0)),(INDEX($A$32:$J$44,MATCH($M91,$A$32:$A$44,0),MATCH(T$1,$A$1:$J$1,0))-INDEX($A$32:$J$44,MATCH($M91,$A$32:$A$44,0)-1,MATCH(T$1,$A$1:$J$1,0)))/12+T90)</f>
        <v>17</v>
      </c>
      <c r="U91" s="46" cm="1">
        <f t="array" ref="U91">IF($N91=12,INDEX($A$32:$J$44,MATCH($M91,$A$32:$A$44,0),MATCH(U$1,$A$1:$J$1,0)),(INDEX($A$32:$J$44,MATCH($M91,$A$32:$A$44,0),MATCH(U$1,$A$1:$J$1,0))-INDEX($A$32:$J$44,MATCH($M91,$A$32:$A$44,0)-1,MATCH(U$1,$A$1:$J$1,0)))/12+U90)</f>
        <v>6</v>
      </c>
      <c r="V91" s="46" cm="1">
        <f t="array" ref="V91">IF($N91=12,INDEX($A$32:$J$44,MATCH($M91,$A$32:$A$44,0),MATCH(V$1,$A$1:$J$1,0)),(INDEX($A$32:$J$44,MATCH($M91,$A$32:$A$44,0),MATCH(V$1,$A$1:$J$1,0))-INDEX($A$32:$J$44,MATCH($M91,$A$32:$A$44,0)-1,MATCH(V$1,$A$1:$J$1,0)))/12+V90)</f>
        <v>14847.499999999996</v>
      </c>
      <c r="W91" s="46" cm="1">
        <f t="array" ref="W91">IF($N91=12,INDEX($A$32:$J$44,MATCH($M91,$A$32:$A$44,0),MATCH(W$1,$A$1:$J$1,0)),(INDEX($A$32:$J$44,MATCH($M91,$A$32:$A$44,0),MATCH(W$1,$A$1:$J$1,0))-INDEX($A$32:$J$44,MATCH($M91,$A$32:$A$44,0)-1,MATCH(W$1,$A$1:$J$1,0)))/12+W90)</f>
        <v>11989</v>
      </c>
    </row>
    <row r="92" spans="2:23" x14ac:dyDescent="0.2">
      <c r="L92" s="211">
        <f>'Purchased Power Model'!A93</f>
        <v>43282</v>
      </c>
      <c r="M92" s="212">
        <f>'Purchased Power Model'!B93</f>
        <v>2018</v>
      </c>
      <c r="N92" s="212">
        <f>'Purchased Power Model'!C93</f>
        <v>7</v>
      </c>
      <c r="O92" s="46" cm="1">
        <f t="array" ref="O92">IF($N92=12,INDEX($A$32:$J$44,MATCH($M92,$A$32:$A$44,0),MATCH(O$1,$A$1:$J$1,0)),(INDEX($A$32:$J$44,MATCH($M92,$A$32:$A$44,0),MATCH(O$1,$A$1:$J$1,0))-INDEX($A$32:$J$44,MATCH($M92,$A$32:$A$44,0)-1,MATCH(O$1,$A$1:$J$1,0)))/12+O91)</f>
        <v>10515.75</v>
      </c>
      <c r="P92" s="46" cm="1">
        <f t="array" ref="P92">IF($N92=12,INDEX($A$32:$J$44,MATCH($M92,$A$32:$A$44,0),MATCH(P$1,$A$1:$J$1,0)),(INDEX($A$32:$J$44,MATCH($M92,$A$32:$A$44,0),MATCH(P$1,$A$1:$J$1,0))-INDEX($A$32:$J$44,MATCH($M92,$A$32:$A$44,0)-1,MATCH(P$1,$A$1:$J$1,0)))/12+P91)</f>
        <v>1238</v>
      </c>
      <c r="Q92" s="46" cm="1">
        <f t="array" ref="Q92">IF($N92=12,INDEX($A$32:$J$44,MATCH($M92,$A$32:$A$44,0),MATCH(Q$1,$A$1:$J$1,0)),(INDEX($A$32:$J$44,MATCH($M92,$A$32:$A$44,0),MATCH(Q$1,$A$1:$J$1,0))-INDEX($A$32:$J$44,MATCH($M92,$A$32:$A$44,0)-1,MATCH(Q$1,$A$1:$J$1,0)))/12+Q91)</f>
        <v>95.25</v>
      </c>
      <c r="R92" s="46" cm="1">
        <f t="array" ref="R92">IF($N92=12,INDEX($A$32:$J$44,MATCH($M92,$A$32:$A$44,0),MATCH(R$1,$A$1:$J$1,0)),(INDEX($A$32:$J$44,MATCH($M92,$A$32:$A$44,0),MATCH(R$1,$A$1:$J$1,0))-INDEX($A$32:$J$44,MATCH($M92,$A$32:$A$44,0)-1,MATCH(R$1,$A$1:$J$1,0)))/12+R91)</f>
        <v>2958.8333333333344</v>
      </c>
      <c r="S92" s="46" cm="1">
        <f t="array" ref="S92">IF($N92=12,INDEX($A$32:$J$44,MATCH($M92,$A$32:$A$44,0),MATCH(S$1,$A$1:$J$1,0)),(INDEX($A$32:$J$44,MATCH($M92,$A$32:$A$44,0),MATCH(S$1,$A$1:$J$1,0))-INDEX($A$32:$J$44,MATCH($M92,$A$32:$A$44,0)-1,MATCH(S$1,$A$1:$J$1,0)))/12+S91)</f>
        <v>31.583333333333325</v>
      </c>
      <c r="T92" s="46" cm="1">
        <f t="array" ref="T92">IF($N92=12,INDEX($A$32:$J$44,MATCH($M92,$A$32:$A$44,0),MATCH(T$1,$A$1:$J$1,0)),(INDEX($A$32:$J$44,MATCH($M92,$A$32:$A$44,0),MATCH(T$1,$A$1:$J$1,0))-INDEX($A$32:$J$44,MATCH($M92,$A$32:$A$44,0)-1,MATCH(T$1,$A$1:$J$1,0)))/12+T91)</f>
        <v>17</v>
      </c>
      <c r="U92" s="46" cm="1">
        <f t="array" ref="U92">IF($N92=12,INDEX($A$32:$J$44,MATCH($M92,$A$32:$A$44,0),MATCH(U$1,$A$1:$J$1,0)),(INDEX($A$32:$J$44,MATCH($M92,$A$32:$A$44,0),MATCH(U$1,$A$1:$J$1,0))-INDEX($A$32:$J$44,MATCH($M92,$A$32:$A$44,0)-1,MATCH(U$1,$A$1:$J$1,0)))/12+U91)</f>
        <v>6</v>
      </c>
      <c r="V92" s="46" cm="1">
        <f t="array" ref="V92">IF($N92=12,INDEX($A$32:$J$44,MATCH($M92,$A$32:$A$44,0),MATCH(V$1,$A$1:$J$1,0)),(INDEX($A$32:$J$44,MATCH($M92,$A$32:$A$44,0),MATCH(V$1,$A$1:$J$1,0))-INDEX($A$32:$J$44,MATCH($M92,$A$32:$A$44,0)-1,MATCH(V$1,$A$1:$J$1,0)))/12+V91)</f>
        <v>14862.416666666662</v>
      </c>
      <c r="W92" s="46" cm="1">
        <f t="array" ref="W92">IF($N92=12,INDEX($A$32:$J$44,MATCH($M92,$A$32:$A$44,0),MATCH(W$1,$A$1:$J$1,0)),(INDEX($A$32:$J$44,MATCH($M92,$A$32:$A$44,0),MATCH(W$1,$A$1:$J$1,0))-INDEX($A$32:$J$44,MATCH($M92,$A$32:$A$44,0)-1,MATCH(W$1,$A$1:$J$1,0)))/12+W91)</f>
        <v>12000</v>
      </c>
    </row>
    <row r="93" spans="2:23" x14ac:dyDescent="0.2">
      <c r="L93" s="211">
        <f>'Purchased Power Model'!A94</f>
        <v>43313</v>
      </c>
      <c r="M93" s="212">
        <f>'Purchased Power Model'!B94</f>
        <v>2018</v>
      </c>
      <c r="N93" s="212">
        <f>'Purchased Power Model'!C94</f>
        <v>8</v>
      </c>
      <c r="O93" s="46" cm="1">
        <f t="array" ref="O93">IF($N93=12,INDEX($A$32:$J$44,MATCH($M93,$A$32:$A$44,0),MATCH(O$1,$A$1:$J$1,0)),(INDEX($A$32:$J$44,MATCH($M93,$A$32:$A$44,0),MATCH(O$1,$A$1:$J$1,0))-INDEX($A$32:$J$44,MATCH($M93,$A$32:$A$44,0)-1,MATCH(O$1,$A$1:$J$1,0)))/12+O92)</f>
        <v>10527</v>
      </c>
      <c r="P93" s="46" cm="1">
        <f t="array" ref="P93">IF($N93=12,INDEX($A$32:$J$44,MATCH($M93,$A$32:$A$44,0),MATCH(P$1,$A$1:$J$1,0)),(INDEX($A$32:$J$44,MATCH($M93,$A$32:$A$44,0),MATCH(P$1,$A$1:$J$1,0))-INDEX($A$32:$J$44,MATCH($M93,$A$32:$A$44,0)-1,MATCH(P$1,$A$1:$J$1,0)))/12+P92)</f>
        <v>1238</v>
      </c>
      <c r="Q93" s="46" cm="1">
        <f t="array" ref="Q93">IF($N93=12,INDEX($A$32:$J$44,MATCH($M93,$A$32:$A$44,0),MATCH(Q$1,$A$1:$J$1,0)),(INDEX($A$32:$J$44,MATCH($M93,$A$32:$A$44,0),MATCH(Q$1,$A$1:$J$1,0))-INDEX($A$32:$J$44,MATCH($M93,$A$32:$A$44,0)-1,MATCH(Q$1,$A$1:$J$1,0)))/12+Q92)</f>
        <v>95</v>
      </c>
      <c r="R93" s="46" cm="1">
        <f t="array" ref="R93">IF($N93=12,INDEX($A$32:$J$44,MATCH($M93,$A$32:$A$44,0),MATCH(R$1,$A$1:$J$1,0)),(INDEX($A$32:$J$44,MATCH($M93,$A$32:$A$44,0),MATCH(R$1,$A$1:$J$1,0))-INDEX($A$32:$J$44,MATCH($M93,$A$32:$A$44,0)-1,MATCH(R$1,$A$1:$J$1,0)))/12+R92)</f>
        <v>2962.6666666666679</v>
      </c>
      <c r="S93" s="46" cm="1">
        <f t="array" ref="S93">IF($N93=12,INDEX($A$32:$J$44,MATCH($M93,$A$32:$A$44,0),MATCH(S$1,$A$1:$J$1,0)),(INDEX($A$32:$J$44,MATCH($M93,$A$32:$A$44,0),MATCH(S$1,$A$1:$J$1,0))-INDEX($A$32:$J$44,MATCH($M93,$A$32:$A$44,0)-1,MATCH(S$1,$A$1:$J$1,0)))/12+S92)</f>
        <v>31.666666666666657</v>
      </c>
      <c r="T93" s="46" cm="1">
        <f t="array" ref="T93">IF($N93=12,INDEX($A$32:$J$44,MATCH($M93,$A$32:$A$44,0),MATCH(T$1,$A$1:$J$1,0)),(INDEX($A$32:$J$44,MATCH($M93,$A$32:$A$44,0),MATCH(T$1,$A$1:$J$1,0))-INDEX($A$32:$J$44,MATCH($M93,$A$32:$A$44,0)-1,MATCH(T$1,$A$1:$J$1,0)))/12+T92)</f>
        <v>17</v>
      </c>
      <c r="U93" s="46" cm="1">
        <f t="array" ref="U93">IF($N93=12,INDEX($A$32:$J$44,MATCH($M93,$A$32:$A$44,0),MATCH(U$1,$A$1:$J$1,0)),(INDEX($A$32:$J$44,MATCH($M93,$A$32:$A$44,0),MATCH(U$1,$A$1:$J$1,0))-INDEX($A$32:$J$44,MATCH($M93,$A$32:$A$44,0)-1,MATCH(U$1,$A$1:$J$1,0)))/12+U92)</f>
        <v>6</v>
      </c>
      <c r="V93" s="46" cm="1">
        <f t="array" ref="V93">IF($N93=12,INDEX($A$32:$J$44,MATCH($M93,$A$32:$A$44,0),MATCH(V$1,$A$1:$J$1,0)),(INDEX($A$32:$J$44,MATCH($M93,$A$32:$A$44,0),MATCH(V$1,$A$1:$J$1,0))-INDEX($A$32:$J$44,MATCH($M93,$A$32:$A$44,0)-1,MATCH(V$1,$A$1:$J$1,0)))/12+V92)</f>
        <v>14877.333333333328</v>
      </c>
      <c r="W93" s="46" cm="1">
        <f t="array" ref="W93">IF($N93=12,INDEX($A$32:$J$44,MATCH($M93,$A$32:$A$44,0),MATCH(W$1,$A$1:$J$1,0)),(INDEX($A$32:$J$44,MATCH($M93,$A$32:$A$44,0),MATCH(W$1,$A$1:$J$1,0))-INDEX($A$32:$J$44,MATCH($M93,$A$32:$A$44,0)-1,MATCH(W$1,$A$1:$J$1,0)))/12+W92)</f>
        <v>12011</v>
      </c>
    </row>
    <row r="94" spans="2:23" x14ac:dyDescent="0.2">
      <c r="L94" s="211">
        <f>'Purchased Power Model'!A95</f>
        <v>43344</v>
      </c>
      <c r="M94" s="212">
        <f>'Purchased Power Model'!B95</f>
        <v>2018</v>
      </c>
      <c r="N94" s="212">
        <f>'Purchased Power Model'!C95</f>
        <v>9</v>
      </c>
      <c r="O94" s="46" cm="1">
        <f t="array" ref="O94">IF($N94=12,INDEX($A$32:$J$44,MATCH($M94,$A$32:$A$44,0),MATCH(O$1,$A$1:$J$1,0)),(INDEX($A$32:$J$44,MATCH($M94,$A$32:$A$44,0),MATCH(O$1,$A$1:$J$1,0))-INDEX($A$32:$J$44,MATCH($M94,$A$32:$A$44,0)-1,MATCH(O$1,$A$1:$J$1,0)))/12+O93)</f>
        <v>10538.25</v>
      </c>
      <c r="P94" s="46" cm="1">
        <f t="array" ref="P94">IF($N94=12,INDEX($A$32:$J$44,MATCH($M94,$A$32:$A$44,0),MATCH(P$1,$A$1:$J$1,0)),(INDEX($A$32:$J$44,MATCH($M94,$A$32:$A$44,0),MATCH(P$1,$A$1:$J$1,0))-INDEX($A$32:$J$44,MATCH($M94,$A$32:$A$44,0)-1,MATCH(P$1,$A$1:$J$1,0)))/12+P93)</f>
        <v>1238</v>
      </c>
      <c r="Q94" s="46" cm="1">
        <f t="array" ref="Q94">IF($N94=12,INDEX($A$32:$J$44,MATCH($M94,$A$32:$A$44,0),MATCH(Q$1,$A$1:$J$1,0)),(INDEX($A$32:$J$44,MATCH($M94,$A$32:$A$44,0),MATCH(Q$1,$A$1:$J$1,0))-INDEX($A$32:$J$44,MATCH($M94,$A$32:$A$44,0)-1,MATCH(Q$1,$A$1:$J$1,0)))/12+Q93)</f>
        <v>94.75</v>
      </c>
      <c r="R94" s="46" cm="1">
        <f t="array" ref="R94">IF($N94=12,INDEX($A$32:$J$44,MATCH($M94,$A$32:$A$44,0),MATCH(R$1,$A$1:$J$1,0)),(INDEX($A$32:$J$44,MATCH($M94,$A$32:$A$44,0),MATCH(R$1,$A$1:$J$1,0))-INDEX($A$32:$J$44,MATCH($M94,$A$32:$A$44,0)-1,MATCH(R$1,$A$1:$J$1,0)))/12+R93)</f>
        <v>2966.5000000000014</v>
      </c>
      <c r="S94" s="46" cm="1">
        <f t="array" ref="S94">IF($N94=12,INDEX($A$32:$J$44,MATCH($M94,$A$32:$A$44,0),MATCH(S$1,$A$1:$J$1,0)),(INDEX($A$32:$J$44,MATCH($M94,$A$32:$A$44,0),MATCH(S$1,$A$1:$J$1,0))-INDEX($A$32:$J$44,MATCH($M94,$A$32:$A$44,0)-1,MATCH(S$1,$A$1:$J$1,0)))/12+S93)</f>
        <v>31.749999999999989</v>
      </c>
      <c r="T94" s="46" cm="1">
        <f t="array" ref="T94">IF($N94=12,INDEX($A$32:$J$44,MATCH($M94,$A$32:$A$44,0),MATCH(T$1,$A$1:$J$1,0)),(INDEX($A$32:$J$44,MATCH($M94,$A$32:$A$44,0),MATCH(T$1,$A$1:$J$1,0))-INDEX($A$32:$J$44,MATCH($M94,$A$32:$A$44,0)-1,MATCH(T$1,$A$1:$J$1,0)))/12+T93)</f>
        <v>17</v>
      </c>
      <c r="U94" s="46" cm="1">
        <f t="array" ref="U94">IF($N94=12,INDEX($A$32:$J$44,MATCH($M94,$A$32:$A$44,0),MATCH(U$1,$A$1:$J$1,0)),(INDEX($A$32:$J$44,MATCH($M94,$A$32:$A$44,0),MATCH(U$1,$A$1:$J$1,0))-INDEX($A$32:$J$44,MATCH($M94,$A$32:$A$44,0)-1,MATCH(U$1,$A$1:$J$1,0)))/12+U93)</f>
        <v>6</v>
      </c>
      <c r="V94" s="46" cm="1">
        <f t="array" ref="V94">IF($N94=12,INDEX($A$32:$J$44,MATCH($M94,$A$32:$A$44,0),MATCH(V$1,$A$1:$J$1,0)),(INDEX($A$32:$J$44,MATCH($M94,$A$32:$A$44,0),MATCH(V$1,$A$1:$J$1,0))-INDEX($A$32:$J$44,MATCH($M94,$A$32:$A$44,0)-1,MATCH(V$1,$A$1:$J$1,0)))/12+V93)</f>
        <v>14892.249999999995</v>
      </c>
      <c r="W94" s="46" cm="1">
        <f t="array" ref="W94">IF($N94=12,INDEX($A$32:$J$44,MATCH($M94,$A$32:$A$44,0),MATCH(W$1,$A$1:$J$1,0)),(INDEX($A$32:$J$44,MATCH($M94,$A$32:$A$44,0),MATCH(W$1,$A$1:$J$1,0))-INDEX($A$32:$J$44,MATCH($M94,$A$32:$A$44,0)-1,MATCH(W$1,$A$1:$J$1,0)))/12+W93)</f>
        <v>12022</v>
      </c>
    </row>
    <row r="95" spans="2:23" x14ac:dyDescent="0.2">
      <c r="L95" s="211">
        <f>'Purchased Power Model'!A96</f>
        <v>43374</v>
      </c>
      <c r="M95" s="212">
        <f>'Purchased Power Model'!B96</f>
        <v>2018</v>
      </c>
      <c r="N95" s="212">
        <f>'Purchased Power Model'!C96</f>
        <v>10</v>
      </c>
      <c r="O95" s="46" cm="1">
        <f t="array" ref="O95">IF($N95=12,INDEX($A$32:$J$44,MATCH($M95,$A$32:$A$44,0),MATCH(O$1,$A$1:$J$1,0)),(INDEX($A$32:$J$44,MATCH($M95,$A$32:$A$44,0),MATCH(O$1,$A$1:$J$1,0))-INDEX($A$32:$J$44,MATCH($M95,$A$32:$A$44,0)-1,MATCH(O$1,$A$1:$J$1,0)))/12+O94)</f>
        <v>10549.5</v>
      </c>
      <c r="P95" s="46" cm="1">
        <f t="array" ref="P95">IF($N95=12,INDEX($A$32:$J$44,MATCH($M95,$A$32:$A$44,0),MATCH(P$1,$A$1:$J$1,0)),(INDEX($A$32:$J$44,MATCH($M95,$A$32:$A$44,0),MATCH(P$1,$A$1:$J$1,0))-INDEX($A$32:$J$44,MATCH($M95,$A$32:$A$44,0)-1,MATCH(P$1,$A$1:$J$1,0)))/12+P94)</f>
        <v>1238</v>
      </c>
      <c r="Q95" s="46" cm="1">
        <f t="array" ref="Q95">IF($N95=12,INDEX($A$32:$J$44,MATCH($M95,$A$32:$A$44,0),MATCH(Q$1,$A$1:$J$1,0)),(INDEX($A$32:$J$44,MATCH($M95,$A$32:$A$44,0),MATCH(Q$1,$A$1:$J$1,0))-INDEX($A$32:$J$44,MATCH($M95,$A$32:$A$44,0)-1,MATCH(Q$1,$A$1:$J$1,0)))/12+Q94)</f>
        <v>94.5</v>
      </c>
      <c r="R95" s="46" cm="1">
        <f t="array" ref="R95">IF($N95=12,INDEX($A$32:$J$44,MATCH($M95,$A$32:$A$44,0),MATCH(R$1,$A$1:$J$1,0)),(INDEX($A$32:$J$44,MATCH($M95,$A$32:$A$44,0),MATCH(R$1,$A$1:$J$1,0))-INDEX($A$32:$J$44,MATCH($M95,$A$32:$A$44,0)-1,MATCH(R$1,$A$1:$J$1,0)))/12+R94)</f>
        <v>2970.3333333333348</v>
      </c>
      <c r="S95" s="46" cm="1">
        <f t="array" ref="S95">IF($N95=12,INDEX($A$32:$J$44,MATCH($M95,$A$32:$A$44,0),MATCH(S$1,$A$1:$J$1,0)),(INDEX($A$32:$J$44,MATCH($M95,$A$32:$A$44,0),MATCH(S$1,$A$1:$J$1,0))-INDEX($A$32:$J$44,MATCH($M95,$A$32:$A$44,0)-1,MATCH(S$1,$A$1:$J$1,0)))/12+S94)</f>
        <v>31.833333333333321</v>
      </c>
      <c r="T95" s="46" cm="1">
        <f t="array" ref="T95">IF($N95=12,INDEX($A$32:$J$44,MATCH($M95,$A$32:$A$44,0),MATCH(T$1,$A$1:$J$1,0)),(INDEX($A$32:$J$44,MATCH($M95,$A$32:$A$44,0),MATCH(T$1,$A$1:$J$1,0))-INDEX($A$32:$J$44,MATCH($M95,$A$32:$A$44,0)-1,MATCH(T$1,$A$1:$J$1,0)))/12+T94)</f>
        <v>17</v>
      </c>
      <c r="U95" s="46" cm="1">
        <f t="array" ref="U95">IF($N95=12,INDEX($A$32:$J$44,MATCH($M95,$A$32:$A$44,0),MATCH(U$1,$A$1:$J$1,0)),(INDEX($A$32:$J$44,MATCH($M95,$A$32:$A$44,0),MATCH(U$1,$A$1:$J$1,0))-INDEX($A$32:$J$44,MATCH($M95,$A$32:$A$44,0)-1,MATCH(U$1,$A$1:$J$1,0)))/12+U94)</f>
        <v>6</v>
      </c>
      <c r="V95" s="46" cm="1">
        <f t="array" ref="V95">IF($N95=12,INDEX($A$32:$J$44,MATCH($M95,$A$32:$A$44,0),MATCH(V$1,$A$1:$J$1,0)),(INDEX($A$32:$J$44,MATCH($M95,$A$32:$A$44,0),MATCH(V$1,$A$1:$J$1,0))-INDEX($A$32:$J$44,MATCH($M95,$A$32:$A$44,0)-1,MATCH(V$1,$A$1:$J$1,0)))/12+V94)</f>
        <v>14907.166666666661</v>
      </c>
      <c r="W95" s="46" cm="1">
        <f t="array" ref="W95">IF($N95=12,INDEX($A$32:$J$44,MATCH($M95,$A$32:$A$44,0),MATCH(W$1,$A$1:$J$1,0)),(INDEX($A$32:$J$44,MATCH($M95,$A$32:$A$44,0),MATCH(W$1,$A$1:$J$1,0))-INDEX($A$32:$J$44,MATCH($M95,$A$32:$A$44,0)-1,MATCH(W$1,$A$1:$J$1,0)))/12+W94)</f>
        <v>12033</v>
      </c>
    </row>
    <row r="96" spans="2:23" x14ac:dyDescent="0.2">
      <c r="L96" s="211">
        <f>'Purchased Power Model'!A97</f>
        <v>43405</v>
      </c>
      <c r="M96" s="212">
        <f>'Purchased Power Model'!B97</f>
        <v>2018</v>
      </c>
      <c r="N96" s="212">
        <f>'Purchased Power Model'!C97</f>
        <v>11</v>
      </c>
      <c r="O96" s="46" cm="1">
        <f t="array" ref="O96">IF($N96=12,INDEX($A$32:$J$44,MATCH($M96,$A$32:$A$44,0),MATCH(O$1,$A$1:$J$1,0)),(INDEX($A$32:$J$44,MATCH($M96,$A$32:$A$44,0),MATCH(O$1,$A$1:$J$1,0))-INDEX($A$32:$J$44,MATCH($M96,$A$32:$A$44,0)-1,MATCH(O$1,$A$1:$J$1,0)))/12+O95)</f>
        <v>10560.75</v>
      </c>
      <c r="P96" s="46" cm="1">
        <f t="array" ref="P96">IF($N96=12,INDEX($A$32:$J$44,MATCH($M96,$A$32:$A$44,0),MATCH(P$1,$A$1:$J$1,0)),(INDEX($A$32:$J$44,MATCH($M96,$A$32:$A$44,0),MATCH(P$1,$A$1:$J$1,0))-INDEX($A$32:$J$44,MATCH($M96,$A$32:$A$44,0)-1,MATCH(P$1,$A$1:$J$1,0)))/12+P95)</f>
        <v>1238</v>
      </c>
      <c r="Q96" s="46" cm="1">
        <f t="array" ref="Q96">IF($N96=12,INDEX($A$32:$J$44,MATCH($M96,$A$32:$A$44,0),MATCH(Q$1,$A$1:$J$1,0)),(INDEX($A$32:$J$44,MATCH($M96,$A$32:$A$44,0),MATCH(Q$1,$A$1:$J$1,0))-INDEX($A$32:$J$44,MATCH($M96,$A$32:$A$44,0)-1,MATCH(Q$1,$A$1:$J$1,0)))/12+Q95)</f>
        <v>94.25</v>
      </c>
      <c r="R96" s="46" cm="1">
        <f t="array" ref="R96">IF($N96=12,INDEX($A$32:$J$44,MATCH($M96,$A$32:$A$44,0),MATCH(R$1,$A$1:$J$1,0)),(INDEX($A$32:$J$44,MATCH($M96,$A$32:$A$44,0),MATCH(R$1,$A$1:$J$1,0))-INDEX($A$32:$J$44,MATCH($M96,$A$32:$A$44,0)-1,MATCH(R$1,$A$1:$J$1,0)))/12+R95)</f>
        <v>2974.1666666666683</v>
      </c>
      <c r="S96" s="46" cm="1">
        <f t="array" ref="S96">IF($N96=12,INDEX($A$32:$J$44,MATCH($M96,$A$32:$A$44,0),MATCH(S$1,$A$1:$J$1,0)),(INDEX($A$32:$J$44,MATCH($M96,$A$32:$A$44,0),MATCH(S$1,$A$1:$J$1,0))-INDEX($A$32:$J$44,MATCH($M96,$A$32:$A$44,0)-1,MATCH(S$1,$A$1:$J$1,0)))/12+S95)</f>
        <v>31.916666666666654</v>
      </c>
      <c r="T96" s="46" cm="1">
        <f t="array" ref="T96">IF($N96=12,INDEX($A$32:$J$44,MATCH($M96,$A$32:$A$44,0),MATCH(T$1,$A$1:$J$1,0)),(INDEX($A$32:$J$44,MATCH($M96,$A$32:$A$44,0),MATCH(T$1,$A$1:$J$1,0))-INDEX($A$32:$J$44,MATCH($M96,$A$32:$A$44,0)-1,MATCH(T$1,$A$1:$J$1,0)))/12+T95)</f>
        <v>17</v>
      </c>
      <c r="U96" s="46" cm="1">
        <f t="array" ref="U96">IF($N96=12,INDEX($A$32:$J$44,MATCH($M96,$A$32:$A$44,0),MATCH(U$1,$A$1:$J$1,0)),(INDEX($A$32:$J$44,MATCH($M96,$A$32:$A$44,0),MATCH(U$1,$A$1:$J$1,0))-INDEX($A$32:$J$44,MATCH($M96,$A$32:$A$44,0)-1,MATCH(U$1,$A$1:$J$1,0)))/12+U95)</f>
        <v>6</v>
      </c>
      <c r="V96" s="46" cm="1">
        <f t="array" ref="V96">IF($N96=12,INDEX($A$32:$J$44,MATCH($M96,$A$32:$A$44,0),MATCH(V$1,$A$1:$J$1,0)),(INDEX($A$32:$J$44,MATCH($M96,$A$32:$A$44,0),MATCH(V$1,$A$1:$J$1,0))-INDEX($A$32:$J$44,MATCH($M96,$A$32:$A$44,0)-1,MATCH(V$1,$A$1:$J$1,0)))/12+V95)</f>
        <v>14922.083333333327</v>
      </c>
      <c r="W96" s="46" cm="1">
        <f t="array" ref="W96">IF($N96=12,INDEX($A$32:$J$44,MATCH($M96,$A$32:$A$44,0),MATCH(W$1,$A$1:$J$1,0)),(INDEX($A$32:$J$44,MATCH($M96,$A$32:$A$44,0),MATCH(W$1,$A$1:$J$1,0))-INDEX($A$32:$J$44,MATCH($M96,$A$32:$A$44,0)-1,MATCH(W$1,$A$1:$J$1,0)))/12+W95)</f>
        <v>12044</v>
      </c>
    </row>
    <row r="97" spans="12:23" x14ac:dyDescent="0.2">
      <c r="L97" s="211">
        <f>'Purchased Power Model'!A98</f>
        <v>43435</v>
      </c>
      <c r="M97" s="212">
        <f>'Purchased Power Model'!B98</f>
        <v>2018</v>
      </c>
      <c r="N97" s="212">
        <f>'Purchased Power Model'!C98</f>
        <v>12</v>
      </c>
      <c r="O97" s="46" cm="1">
        <f t="array" ref="O97">IF($N97=12,INDEX($A$32:$J$44,MATCH($M97,$A$32:$A$44,0),MATCH(O$1,$A$1:$J$1,0)),(INDEX($A$32:$J$44,MATCH($M97,$A$32:$A$44,0),MATCH(O$1,$A$1:$J$1,0))-INDEX($A$32:$J$44,MATCH($M97,$A$32:$A$44,0)-1,MATCH(O$1,$A$1:$J$1,0)))/12+O96)</f>
        <v>10572</v>
      </c>
      <c r="P97" s="46" cm="1">
        <f t="array" ref="P97">IF($N97=12,INDEX($A$32:$J$44,MATCH($M97,$A$32:$A$44,0),MATCH(P$1,$A$1:$J$1,0)),(INDEX($A$32:$J$44,MATCH($M97,$A$32:$A$44,0),MATCH(P$1,$A$1:$J$1,0))-INDEX($A$32:$J$44,MATCH($M97,$A$32:$A$44,0)-1,MATCH(P$1,$A$1:$J$1,0)))/12+P96)</f>
        <v>1238</v>
      </c>
      <c r="Q97" s="46" cm="1">
        <f t="array" ref="Q97">IF($N97=12,INDEX($A$32:$J$44,MATCH($M97,$A$32:$A$44,0),MATCH(Q$1,$A$1:$J$1,0)),(INDEX($A$32:$J$44,MATCH($M97,$A$32:$A$44,0),MATCH(Q$1,$A$1:$J$1,0))-INDEX($A$32:$J$44,MATCH($M97,$A$32:$A$44,0)-1,MATCH(Q$1,$A$1:$J$1,0)))/12+Q96)</f>
        <v>94</v>
      </c>
      <c r="R97" s="46" cm="1">
        <f t="array" ref="R97">IF($N97=12,INDEX($A$32:$J$44,MATCH($M97,$A$32:$A$44,0),MATCH(R$1,$A$1:$J$1,0)),(INDEX($A$32:$J$44,MATCH($M97,$A$32:$A$44,0),MATCH(R$1,$A$1:$J$1,0))-INDEX($A$32:$J$44,MATCH($M97,$A$32:$A$44,0)-1,MATCH(R$1,$A$1:$J$1,0)))/12+R96)</f>
        <v>2978</v>
      </c>
      <c r="S97" s="46" cm="1">
        <f t="array" ref="S97">IF($N97=12,INDEX($A$32:$J$44,MATCH($M97,$A$32:$A$44,0),MATCH(S$1,$A$1:$J$1,0)),(INDEX($A$32:$J$44,MATCH($M97,$A$32:$A$44,0),MATCH(S$1,$A$1:$J$1,0))-INDEX($A$32:$J$44,MATCH($M97,$A$32:$A$44,0)-1,MATCH(S$1,$A$1:$J$1,0)))/12+S96)</f>
        <v>32</v>
      </c>
      <c r="T97" s="46" cm="1">
        <f t="array" ref="T97">IF($N97=12,INDEX($A$32:$J$44,MATCH($M97,$A$32:$A$44,0),MATCH(T$1,$A$1:$J$1,0)),(INDEX($A$32:$J$44,MATCH($M97,$A$32:$A$44,0),MATCH(T$1,$A$1:$J$1,0))-INDEX($A$32:$J$44,MATCH($M97,$A$32:$A$44,0)-1,MATCH(T$1,$A$1:$J$1,0)))/12+T96)</f>
        <v>17</v>
      </c>
      <c r="U97" s="46" cm="1">
        <f t="array" ref="U97">IF($N97=12,INDEX($A$32:$J$44,MATCH($M97,$A$32:$A$44,0),MATCH(U$1,$A$1:$J$1,0)),(INDEX($A$32:$J$44,MATCH($M97,$A$32:$A$44,0),MATCH(U$1,$A$1:$J$1,0))-INDEX($A$32:$J$44,MATCH($M97,$A$32:$A$44,0)-1,MATCH(U$1,$A$1:$J$1,0)))/12+U96)</f>
        <v>6</v>
      </c>
      <c r="V97" s="46" cm="1">
        <f t="array" ref="V97">IF($N97=12,INDEX($A$32:$J$44,MATCH($M97,$A$32:$A$44,0),MATCH(V$1,$A$1:$J$1,0)),(INDEX($A$32:$J$44,MATCH($M97,$A$32:$A$44,0),MATCH(V$1,$A$1:$J$1,0))-INDEX($A$32:$J$44,MATCH($M97,$A$32:$A$44,0)-1,MATCH(V$1,$A$1:$J$1,0)))/12+V96)</f>
        <v>14937</v>
      </c>
      <c r="W97" s="46" cm="1">
        <f t="array" ref="W97">IF($N97=12,INDEX($A$32:$J$44,MATCH($M97,$A$32:$A$44,0),MATCH(W$1,$A$1:$J$1,0)),(INDEX($A$32:$J$44,MATCH($M97,$A$32:$A$44,0),MATCH(W$1,$A$1:$J$1,0))-INDEX($A$32:$J$44,MATCH($M97,$A$32:$A$44,0)-1,MATCH(W$1,$A$1:$J$1,0)))/12+W96)</f>
        <v>12055</v>
      </c>
    </row>
    <row r="98" spans="12:23" x14ac:dyDescent="0.2">
      <c r="L98" s="211">
        <f>'Purchased Power Model'!A99</f>
        <v>43466</v>
      </c>
      <c r="M98" s="212">
        <f>'Purchased Power Model'!B99</f>
        <v>2019</v>
      </c>
      <c r="N98" s="212">
        <f>'Purchased Power Model'!C99</f>
        <v>1</v>
      </c>
      <c r="O98" s="46" cm="1">
        <f t="array" ref="O98">IF($N98=12,INDEX($A$32:$J$44,MATCH($M98,$A$32:$A$44,0),MATCH(O$1,$A$1:$J$1,0)),(INDEX($A$32:$J$44,MATCH($M98,$A$32:$A$44,0),MATCH(O$1,$A$1:$J$1,0))-INDEX($A$32:$J$44,MATCH($M98,$A$32:$A$44,0)-1,MATCH(O$1,$A$1:$J$1,0)))/12+O97)</f>
        <v>10581.75</v>
      </c>
      <c r="P98" s="46" cm="1">
        <f t="array" ref="P98">IF($N98=12,INDEX($A$32:$J$44,MATCH($M98,$A$32:$A$44,0),MATCH(P$1,$A$1:$J$1,0)),(INDEX($A$32:$J$44,MATCH($M98,$A$32:$A$44,0),MATCH(P$1,$A$1:$J$1,0))-INDEX($A$32:$J$44,MATCH($M98,$A$32:$A$44,0)-1,MATCH(P$1,$A$1:$J$1,0)))/12+P97)</f>
        <v>1237.9166666666667</v>
      </c>
      <c r="Q98" s="46" cm="1">
        <f t="array" ref="Q98">IF($N98=12,INDEX($A$32:$J$44,MATCH($M98,$A$32:$A$44,0),MATCH(Q$1,$A$1:$J$1,0)),(INDEX($A$32:$J$44,MATCH($M98,$A$32:$A$44,0),MATCH(Q$1,$A$1:$J$1,0))-INDEX($A$32:$J$44,MATCH($M98,$A$32:$A$44,0)-1,MATCH(Q$1,$A$1:$J$1,0)))/12+Q97)</f>
        <v>94.166666666666671</v>
      </c>
      <c r="R98" s="46" cm="1">
        <f t="array" ref="R98">IF($N98=12,INDEX($A$32:$J$44,MATCH($M98,$A$32:$A$44,0),MATCH(R$1,$A$1:$J$1,0)),(INDEX($A$32:$J$44,MATCH($M98,$A$32:$A$44,0),MATCH(R$1,$A$1:$J$1,0))-INDEX($A$32:$J$44,MATCH($M98,$A$32:$A$44,0)-1,MATCH(R$1,$A$1:$J$1,0)))/12+R97)</f>
        <v>2980.3333333333335</v>
      </c>
      <c r="S98" s="46" cm="1">
        <f t="array" ref="S98">IF($N98=12,INDEX($A$32:$J$44,MATCH($M98,$A$32:$A$44,0),MATCH(S$1,$A$1:$J$1,0)),(INDEX($A$32:$J$44,MATCH($M98,$A$32:$A$44,0),MATCH(S$1,$A$1:$J$1,0))-INDEX($A$32:$J$44,MATCH($M98,$A$32:$A$44,0)-1,MATCH(S$1,$A$1:$J$1,0)))/12+S97)</f>
        <v>32</v>
      </c>
      <c r="T98" s="46" cm="1">
        <f t="array" ref="T98">IF($N98=12,INDEX($A$32:$J$44,MATCH($M98,$A$32:$A$44,0),MATCH(T$1,$A$1:$J$1,0)),(INDEX($A$32:$J$44,MATCH($M98,$A$32:$A$44,0),MATCH(T$1,$A$1:$J$1,0))-INDEX($A$32:$J$44,MATCH($M98,$A$32:$A$44,0)-1,MATCH(T$1,$A$1:$J$1,0)))/12+T97)</f>
        <v>17</v>
      </c>
      <c r="U98" s="46" cm="1">
        <f t="array" ref="U98">IF($N98=12,INDEX($A$32:$J$44,MATCH($M98,$A$32:$A$44,0),MATCH(U$1,$A$1:$J$1,0)),(INDEX($A$32:$J$44,MATCH($M98,$A$32:$A$44,0),MATCH(U$1,$A$1:$J$1,0))-INDEX($A$32:$J$44,MATCH($M98,$A$32:$A$44,0)-1,MATCH(U$1,$A$1:$J$1,0)))/12+U97)</f>
        <v>6</v>
      </c>
      <c r="V98" s="46" cm="1">
        <f t="array" ref="V98">IF($N98=12,INDEX($A$32:$J$44,MATCH($M98,$A$32:$A$44,0),MATCH(V$1,$A$1:$J$1,0)),(INDEX($A$32:$J$44,MATCH($M98,$A$32:$A$44,0),MATCH(V$1,$A$1:$J$1,0))-INDEX($A$32:$J$44,MATCH($M98,$A$32:$A$44,0)-1,MATCH(V$1,$A$1:$J$1,0)))/12+V97)</f>
        <v>14949.166666666666</v>
      </c>
      <c r="W98" s="46" cm="1">
        <f t="array" ref="W98">IF($N98=12,INDEX($A$32:$J$44,MATCH($M98,$A$32:$A$44,0),MATCH(W$1,$A$1:$J$1,0)),(INDEX($A$32:$J$44,MATCH($M98,$A$32:$A$44,0),MATCH(W$1,$A$1:$J$1,0))-INDEX($A$32:$J$44,MATCH($M98,$A$32:$A$44,0)-1,MATCH(W$1,$A$1:$J$1,0)))/12+W97)</f>
        <v>12064.833333333334</v>
      </c>
    </row>
    <row r="99" spans="12:23" x14ac:dyDescent="0.2">
      <c r="L99" s="211">
        <f>'Purchased Power Model'!A100</f>
        <v>43497</v>
      </c>
      <c r="M99" s="212">
        <f>'Purchased Power Model'!B100</f>
        <v>2019</v>
      </c>
      <c r="N99" s="212">
        <f>'Purchased Power Model'!C100</f>
        <v>2</v>
      </c>
      <c r="O99" s="46" cm="1">
        <f t="array" ref="O99">IF($N99=12,INDEX($A$32:$J$44,MATCH($M99,$A$32:$A$44,0),MATCH(O$1,$A$1:$J$1,0)),(INDEX($A$32:$J$44,MATCH($M99,$A$32:$A$44,0),MATCH(O$1,$A$1:$J$1,0))-INDEX($A$32:$J$44,MATCH($M99,$A$32:$A$44,0)-1,MATCH(O$1,$A$1:$J$1,0)))/12+O98)</f>
        <v>10591.5</v>
      </c>
      <c r="P99" s="46" cm="1">
        <f t="array" ref="P99">IF($N99=12,INDEX($A$32:$J$44,MATCH($M99,$A$32:$A$44,0),MATCH(P$1,$A$1:$J$1,0)),(INDEX($A$32:$J$44,MATCH($M99,$A$32:$A$44,0),MATCH(P$1,$A$1:$J$1,0))-INDEX($A$32:$J$44,MATCH($M99,$A$32:$A$44,0)-1,MATCH(P$1,$A$1:$J$1,0)))/12+P98)</f>
        <v>1237.8333333333335</v>
      </c>
      <c r="Q99" s="46" cm="1">
        <f t="array" ref="Q99">IF($N99=12,INDEX($A$32:$J$44,MATCH($M99,$A$32:$A$44,0),MATCH(Q$1,$A$1:$J$1,0)),(INDEX($A$32:$J$44,MATCH($M99,$A$32:$A$44,0),MATCH(Q$1,$A$1:$J$1,0))-INDEX($A$32:$J$44,MATCH($M99,$A$32:$A$44,0)-1,MATCH(Q$1,$A$1:$J$1,0)))/12+Q98)</f>
        <v>94.333333333333343</v>
      </c>
      <c r="R99" s="46" cm="1">
        <f t="array" ref="R99">IF($N99=12,INDEX($A$32:$J$44,MATCH($M99,$A$32:$A$44,0),MATCH(R$1,$A$1:$J$1,0)),(INDEX($A$32:$J$44,MATCH($M99,$A$32:$A$44,0),MATCH(R$1,$A$1:$J$1,0))-INDEX($A$32:$J$44,MATCH($M99,$A$32:$A$44,0)-1,MATCH(R$1,$A$1:$J$1,0)))/12+R98)</f>
        <v>2982.666666666667</v>
      </c>
      <c r="S99" s="46" cm="1">
        <f t="array" ref="S99">IF($N99=12,INDEX($A$32:$J$44,MATCH($M99,$A$32:$A$44,0),MATCH(S$1,$A$1:$J$1,0)),(INDEX($A$32:$J$44,MATCH($M99,$A$32:$A$44,0),MATCH(S$1,$A$1:$J$1,0))-INDEX($A$32:$J$44,MATCH($M99,$A$32:$A$44,0)-1,MATCH(S$1,$A$1:$J$1,0)))/12+S98)</f>
        <v>32</v>
      </c>
      <c r="T99" s="46" cm="1">
        <f t="array" ref="T99">IF($N99=12,INDEX($A$32:$J$44,MATCH($M99,$A$32:$A$44,0),MATCH(T$1,$A$1:$J$1,0)),(INDEX($A$32:$J$44,MATCH($M99,$A$32:$A$44,0),MATCH(T$1,$A$1:$J$1,0))-INDEX($A$32:$J$44,MATCH($M99,$A$32:$A$44,0)-1,MATCH(T$1,$A$1:$J$1,0)))/12+T98)</f>
        <v>17</v>
      </c>
      <c r="U99" s="46" cm="1">
        <f t="array" ref="U99">IF($N99=12,INDEX($A$32:$J$44,MATCH($M99,$A$32:$A$44,0),MATCH(U$1,$A$1:$J$1,0)),(INDEX($A$32:$J$44,MATCH($M99,$A$32:$A$44,0),MATCH(U$1,$A$1:$J$1,0))-INDEX($A$32:$J$44,MATCH($M99,$A$32:$A$44,0)-1,MATCH(U$1,$A$1:$J$1,0)))/12+U98)</f>
        <v>6</v>
      </c>
      <c r="V99" s="46" cm="1">
        <f t="array" ref="V99">IF($N99=12,INDEX($A$32:$J$44,MATCH($M99,$A$32:$A$44,0),MATCH(V$1,$A$1:$J$1,0)),(INDEX($A$32:$J$44,MATCH($M99,$A$32:$A$44,0),MATCH(V$1,$A$1:$J$1,0))-INDEX($A$32:$J$44,MATCH($M99,$A$32:$A$44,0)-1,MATCH(V$1,$A$1:$J$1,0)))/12+V98)</f>
        <v>14961.333333333332</v>
      </c>
      <c r="W99" s="46" cm="1">
        <f t="array" ref="W99">IF($N99=12,INDEX($A$32:$J$44,MATCH($M99,$A$32:$A$44,0),MATCH(W$1,$A$1:$J$1,0)),(INDEX($A$32:$J$44,MATCH($M99,$A$32:$A$44,0),MATCH(W$1,$A$1:$J$1,0))-INDEX($A$32:$J$44,MATCH($M99,$A$32:$A$44,0)-1,MATCH(W$1,$A$1:$J$1,0)))/12+W98)</f>
        <v>12074.666666666668</v>
      </c>
    </row>
    <row r="100" spans="12:23" x14ac:dyDescent="0.2">
      <c r="L100" s="211">
        <f>'Purchased Power Model'!A101</f>
        <v>43525</v>
      </c>
      <c r="M100" s="212">
        <f>'Purchased Power Model'!B101</f>
        <v>2019</v>
      </c>
      <c r="N100" s="212">
        <f>'Purchased Power Model'!C101</f>
        <v>3</v>
      </c>
      <c r="O100" s="46" cm="1">
        <f t="array" ref="O100">IF($N100=12,INDEX($A$32:$J$44,MATCH($M100,$A$32:$A$44,0),MATCH(O$1,$A$1:$J$1,0)),(INDEX($A$32:$J$44,MATCH($M100,$A$32:$A$44,0),MATCH(O$1,$A$1:$J$1,0))-INDEX($A$32:$J$44,MATCH($M100,$A$32:$A$44,0)-1,MATCH(O$1,$A$1:$J$1,0)))/12+O99)</f>
        <v>10601.25</v>
      </c>
      <c r="P100" s="46" cm="1">
        <f t="array" ref="P100">IF($N100=12,INDEX($A$32:$J$44,MATCH($M100,$A$32:$A$44,0),MATCH(P$1,$A$1:$J$1,0)),(INDEX($A$32:$J$44,MATCH($M100,$A$32:$A$44,0),MATCH(P$1,$A$1:$J$1,0))-INDEX($A$32:$J$44,MATCH($M100,$A$32:$A$44,0)-1,MATCH(P$1,$A$1:$J$1,0)))/12+P99)</f>
        <v>1237.7500000000002</v>
      </c>
      <c r="Q100" s="46" cm="1">
        <f t="array" ref="Q100">IF($N100=12,INDEX($A$32:$J$44,MATCH($M100,$A$32:$A$44,0),MATCH(Q$1,$A$1:$J$1,0)),(INDEX($A$32:$J$44,MATCH($M100,$A$32:$A$44,0),MATCH(Q$1,$A$1:$J$1,0))-INDEX($A$32:$J$44,MATCH($M100,$A$32:$A$44,0)-1,MATCH(Q$1,$A$1:$J$1,0)))/12+Q99)</f>
        <v>94.500000000000014</v>
      </c>
      <c r="R100" s="46" cm="1">
        <f t="array" ref="R100">IF($N100=12,INDEX($A$32:$J$44,MATCH($M100,$A$32:$A$44,0),MATCH(R$1,$A$1:$J$1,0)),(INDEX($A$32:$J$44,MATCH($M100,$A$32:$A$44,0),MATCH(R$1,$A$1:$J$1,0))-INDEX($A$32:$J$44,MATCH($M100,$A$32:$A$44,0)-1,MATCH(R$1,$A$1:$J$1,0)))/12+R99)</f>
        <v>2985.0000000000005</v>
      </c>
      <c r="S100" s="46" cm="1">
        <f t="array" ref="S100">IF($N100=12,INDEX($A$32:$J$44,MATCH($M100,$A$32:$A$44,0),MATCH(S$1,$A$1:$J$1,0)),(INDEX($A$32:$J$44,MATCH($M100,$A$32:$A$44,0),MATCH(S$1,$A$1:$J$1,0))-INDEX($A$32:$J$44,MATCH($M100,$A$32:$A$44,0)-1,MATCH(S$1,$A$1:$J$1,0)))/12+S99)</f>
        <v>32</v>
      </c>
      <c r="T100" s="46" cm="1">
        <f t="array" ref="T100">IF($N100=12,INDEX($A$32:$J$44,MATCH($M100,$A$32:$A$44,0),MATCH(T$1,$A$1:$J$1,0)),(INDEX($A$32:$J$44,MATCH($M100,$A$32:$A$44,0),MATCH(T$1,$A$1:$J$1,0))-INDEX($A$32:$J$44,MATCH($M100,$A$32:$A$44,0)-1,MATCH(T$1,$A$1:$J$1,0)))/12+T99)</f>
        <v>17</v>
      </c>
      <c r="U100" s="46" cm="1">
        <f t="array" ref="U100">IF($N100=12,INDEX($A$32:$J$44,MATCH($M100,$A$32:$A$44,0),MATCH(U$1,$A$1:$J$1,0)),(INDEX($A$32:$J$44,MATCH($M100,$A$32:$A$44,0),MATCH(U$1,$A$1:$J$1,0))-INDEX($A$32:$J$44,MATCH($M100,$A$32:$A$44,0)-1,MATCH(U$1,$A$1:$J$1,0)))/12+U99)</f>
        <v>6</v>
      </c>
      <c r="V100" s="46" cm="1">
        <f t="array" ref="V100">IF($N100=12,INDEX($A$32:$J$44,MATCH($M100,$A$32:$A$44,0),MATCH(V$1,$A$1:$J$1,0)),(INDEX($A$32:$J$44,MATCH($M100,$A$32:$A$44,0),MATCH(V$1,$A$1:$J$1,0))-INDEX($A$32:$J$44,MATCH($M100,$A$32:$A$44,0)-1,MATCH(V$1,$A$1:$J$1,0)))/12+V99)</f>
        <v>14973.499999999998</v>
      </c>
      <c r="W100" s="46" cm="1">
        <f t="array" ref="W100">IF($N100=12,INDEX($A$32:$J$44,MATCH($M100,$A$32:$A$44,0),MATCH(W$1,$A$1:$J$1,0)),(INDEX($A$32:$J$44,MATCH($M100,$A$32:$A$44,0),MATCH(W$1,$A$1:$J$1,0))-INDEX($A$32:$J$44,MATCH($M100,$A$32:$A$44,0)-1,MATCH(W$1,$A$1:$J$1,0)))/12+W99)</f>
        <v>12084.500000000002</v>
      </c>
    </row>
    <row r="101" spans="12:23" x14ac:dyDescent="0.2">
      <c r="L101" s="211">
        <f>'Purchased Power Model'!A102</f>
        <v>43556</v>
      </c>
      <c r="M101" s="212">
        <f>'Purchased Power Model'!B102</f>
        <v>2019</v>
      </c>
      <c r="N101" s="212">
        <f>'Purchased Power Model'!C102</f>
        <v>4</v>
      </c>
      <c r="O101" s="46" cm="1">
        <f t="array" ref="O101">IF($N101=12,INDEX($A$32:$J$44,MATCH($M101,$A$32:$A$44,0),MATCH(O$1,$A$1:$J$1,0)),(INDEX($A$32:$J$44,MATCH($M101,$A$32:$A$44,0),MATCH(O$1,$A$1:$J$1,0))-INDEX($A$32:$J$44,MATCH($M101,$A$32:$A$44,0)-1,MATCH(O$1,$A$1:$J$1,0)))/12+O100)</f>
        <v>10611</v>
      </c>
      <c r="P101" s="46" cm="1">
        <f t="array" ref="P101">IF($N101=12,INDEX($A$32:$J$44,MATCH($M101,$A$32:$A$44,0),MATCH(P$1,$A$1:$J$1,0)),(INDEX($A$32:$J$44,MATCH($M101,$A$32:$A$44,0),MATCH(P$1,$A$1:$J$1,0))-INDEX($A$32:$J$44,MATCH($M101,$A$32:$A$44,0)-1,MATCH(P$1,$A$1:$J$1,0)))/12+P100)</f>
        <v>1237.666666666667</v>
      </c>
      <c r="Q101" s="46" cm="1">
        <f t="array" ref="Q101">IF($N101=12,INDEX($A$32:$J$44,MATCH($M101,$A$32:$A$44,0),MATCH(Q$1,$A$1:$J$1,0)),(INDEX($A$32:$J$44,MATCH($M101,$A$32:$A$44,0),MATCH(Q$1,$A$1:$J$1,0))-INDEX($A$32:$J$44,MATCH($M101,$A$32:$A$44,0)-1,MATCH(Q$1,$A$1:$J$1,0)))/12+Q100)</f>
        <v>94.666666666666686</v>
      </c>
      <c r="R101" s="46" cm="1">
        <f t="array" ref="R101">IF($N101=12,INDEX($A$32:$J$44,MATCH($M101,$A$32:$A$44,0),MATCH(R$1,$A$1:$J$1,0)),(INDEX($A$32:$J$44,MATCH($M101,$A$32:$A$44,0),MATCH(R$1,$A$1:$J$1,0))-INDEX($A$32:$J$44,MATCH($M101,$A$32:$A$44,0)-1,MATCH(R$1,$A$1:$J$1,0)))/12+R100)</f>
        <v>2987.3333333333339</v>
      </c>
      <c r="S101" s="46" cm="1">
        <f t="array" ref="S101">IF($N101=12,INDEX($A$32:$J$44,MATCH($M101,$A$32:$A$44,0),MATCH(S$1,$A$1:$J$1,0)),(INDEX($A$32:$J$44,MATCH($M101,$A$32:$A$44,0),MATCH(S$1,$A$1:$J$1,0))-INDEX($A$32:$J$44,MATCH($M101,$A$32:$A$44,0)-1,MATCH(S$1,$A$1:$J$1,0)))/12+S100)</f>
        <v>32</v>
      </c>
      <c r="T101" s="46" cm="1">
        <f t="array" ref="T101">IF($N101=12,INDEX($A$32:$J$44,MATCH($M101,$A$32:$A$44,0),MATCH(T$1,$A$1:$J$1,0)),(INDEX($A$32:$J$44,MATCH($M101,$A$32:$A$44,0),MATCH(T$1,$A$1:$J$1,0))-INDEX($A$32:$J$44,MATCH($M101,$A$32:$A$44,0)-1,MATCH(T$1,$A$1:$J$1,0)))/12+T100)</f>
        <v>17</v>
      </c>
      <c r="U101" s="46" cm="1">
        <f t="array" ref="U101">IF($N101=12,INDEX($A$32:$J$44,MATCH($M101,$A$32:$A$44,0),MATCH(U$1,$A$1:$J$1,0)),(INDEX($A$32:$J$44,MATCH($M101,$A$32:$A$44,0),MATCH(U$1,$A$1:$J$1,0))-INDEX($A$32:$J$44,MATCH($M101,$A$32:$A$44,0)-1,MATCH(U$1,$A$1:$J$1,0)))/12+U100)</f>
        <v>6</v>
      </c>
      <c r="V101" s="46" cm="1">
        <f t="array" ref="V101">IF($N101=12,INDEX($A$32:$J$44,MATCH($M101,$A$32:$A$44,0),MATCH(V$1,$A$1:$J$1,0)),(INDEX($A$32:$J$44,MATCH($M101,$A$32:$A$44,0),MATCH(V$1,$A$1:$J$1,0))-INDEX($A$32:$J$44,MATCH($M101,$A$32:$A$44,0)-1,MATCH(V$1,$A$1:$J$1,0)))/12+V100)</f>
        <v>14985.666666666664</v>
      </c>
      <c r="W101" s="46" cm="1">
        <f t="array" ref="W101">IF($N101=12,INDEX($A$32:$J$44,MATCH($M101,$A$32:$A$44,0),MATCH(W$1,$A$1:$J$1,0)),(INDEX($A$32:$J$44,MATCH($M101,$A$32:$A$44,0),MATCH(W$1,$A$1:$J$1,0))-INDEX($A$32:$J$44,MATCH($M101,$A$32:$A$44,0)-1,MATCH(W$1,$A$1:$J$1,0)))/12+W100)</f>
        <v>12094.333333333336</v>
      </c>
    </row>
    <row r="102" spans="12:23" x14ac:dyDescent="0.2">
      <c r="L102" s="211">
        <f>'Purchased Power Model'!A103</f>
        <v>43586</v>
      </c>
      <c r="M102" s="212">
        <f>'Purchased Power Model'!B103</f>
        <v>2019</v>
      </c>
      <c r="N102" s="212">
        <f>'Purchased Power Model'!C103</f>
        <v>5</v>
      </c>
      <c r="O102" s="46" cm="1">
        <f t="array" ref="O102">IF($N102=12,INDEX($A$32:$J$44,MATCH($M102,$A$32:$A$44,0),MATCH(O$1,$A$1:$J$1,0)),(INDEX($A$32:$J$44,MATCH($M102,$A$32:$A$44,0),MATCH(O$1,$A$1:$J$1,0))-INDEX($A$32:$J$44,MATCH($M102,$A$32:$A$44,0)-1,MATCH(O$1,$A$1:$J$1,0)))/12+O101)</f>
        <v>10620.75</v>
      </c>
      <c r="P102" s="46" cm="1">
        <f t="array" ref="P102">IF($N102=12,INDEX($A$32:$J$44,MATCH($M102,$A$32:$A$44,0),MATCH(P$1,$A$1:$J$1,0)),(INDEX($A$32:$J$44,MATCH($M102,$A$32:$A$44,0),MATCH(P$1,$A$1:$J$1,0))-INDEX($A$32:$J$44,MATCH($M102,$A$32:$A$44,0)-1,MATCH(P$1,$A$1:$J$1,0)))/12+P101)</f>
        <v>1237.5833333333337</v>
      </c>
      <c r="Q102" s="46" cm="1">
        <f t="array" ref="Q102">IF($N102=12,INDEX($A$32:$J$44,MATCH($M102,$A$32:$A$44,0),MATCH(Q$1,$A$1:$J$1,0)),(INDEX($A$32:$J$44,MATCH($M102,$A$32:$A$44,0),MATCH(Q$1,$A$1:$J$1,0))-INDEX($A$32:$J$44,MATCH($M102,$A$32:$A$44,0)-1,MATCH(Q$1,$A$1:$J$1,0)))/12+Q101)</f>
        <v>94.833333333333357</v>
      </c>
      <c r="R102" s="46" cm="1">
        <f t="array" ref="R102">IF($N102=12,INDEX($A$32:$J$44,MATCH($M102,$A$32:$A$44,0),MATCH(R$1,$A$1:$J$1,0)),(INDEX($A$32:$J$44,MATCH($M102,$A$32:$A$44,0),MATCH(R$1,$A$1:$J$1,0))-INDEX($A$32:$J$44,MATCH($M102,$A$32:$A$44,0)-1,MATCH(R$1,$A$1:$J$1,0)))/12+R101)</f>
        <v>2989.6666666666674</v>
      </c>
      <c r="S102" s="46" cm="1">
        <f t="array" ref="S102">IF($N102=12,INDEX($A$32:$J$44,MATCH($M102,$A$32:$A$44,0),MATCH(S$1,$A$1:$J$1,0)),(INDEX($A$32:$J$44,MATCH($M102,$A$32:$A$44,0),MATCH(S$1,$A$1:$J$1,0))-INDEX($A$32:$J$44,MATCH($M102,$A$32:$A$44,0)-1,MATCH(S$1,$A$1:$J$1,0)))/12+S101)</f>
        <v>32</v>
      </c>
      <c r="T102" s="46" cm="1">
        <f t="array" ref="T102">IF($N102=12,INDEX($A$32:$J$44,MATCH($M102,$A$32:$A$44,0),MATCH(T$1,$A$1:$J$1,0)),(INDEX($A$32:$J$44,MATCH($M102,$A$32:$A$44,0),MATCH(T$1,$A$1:$J$1,0))-INDEX($A$32:$J$44,MATCH($M102,$A$32:$A$44,0)-1,MATCH(T$1,$A$1:$J$1,0)))/12+T101)</f>
        <v>17</v>
      </c>
      <c r="U102" s="46" cm="1">
        <f t="array" ref="U102">IF($N102=12,INDEX($A$32:$J$44,MATCH($M102,$A$32:$A$44,0),MATCH(U$1,$A$1:$J$1,0)),(INDEX($A$32:$J$44,MATCH($M102,$A$32:$A$44,0),MATCH(U$1,$A$1:$J$1,0))-INDEX($A$32:$J$44,MATCH($M102,$A$32:$A$44,0)-1,MATCH(U$1,$A$1:$J$1,0)))/12+U101)</f>
        <v>6</v>
      </c>
      <c r="V102" s="46" cm="1">
        <f t="array" ref="V102">IF($N102=12,INDEX($A$32:$J$44,MATCH($M102,$A$32:$A$44,0),MATCH(V$1,$A$1:$J$1,0)),(INDEX($A$32:$J$44,MATCH($M102,$A$32:$A$44,0),MATCH(V$1,$A$1:$J$1,0))-INDEX($A$32:$J$44,MATCH($M102,$A$32:$A$44,0)-1,MATCH(V$1,$A$1:$J$1,0)))/12+V101)</f>
        <v>14997.83333333333</v>
      </c>
      <c r="W102" s="46" cm="1">
        <f t="array" ref="W102">IF($N102=12,INDEX($A$32:$J$44,MATCH($M102,$A$32:$A$44,0),MATCH(W$1,$A$1:$J$1,0)),(INDEX($A$32:$J$44,MATCH($M102,$A$32:$A$44,0),MATCH(W$1,$A$1:$J$1,0))-INDEX($A$32:$J$44,MATCH($M102,$A$32:$A$44,0)-1,MATCH(W$1,$A$1:$J$1,0)))/12+W101)</f>
        <v>12104.16666666667</v>
      </c>
    </row>
    <row r="103" spans="12:23" x14ac:dyDescent="0.2">
      <c r="L103" s="211">
        <f>'Purchased Power Model'!A104</f>
        <v>43617</v>
      </c>
      <c r="M103" s="212">
        <f>'Purchased Power Model'!B104</f>
        <v>2019</v>
      </c>
      <c r="N103" s="212">
        <f>'Purchased Power Model'!C104</f>
        <v>6</v>
      </c>
      <c r="O103" s="46" cm="1">
        <f t="array" ref="O103">IF($N103=12,INDEX($A$32:$J$44,MATCH($M103,$A$32:$A$44,0),MATCH(O$1,$A$1:$J$1,0)),(INDEX($A$32:$J$44,MATCH($M103,$A$32:$A$44,0),MATCH(O$1,$A$1:$J$1,0))-INDEX($A$32:$J$44,MATCH($M103,$A$32:$A$44,0)-1,MATCH(O$1,$A$1:$J$1,0)))/12+O102)</f>
        <v>10630.5</v>
      </c>
      <c r="P103" s="46" cm="1">
        <f t="array" ref="P103">IF($N103=12,INDEX($A$32:$J$44,MATCH($M103,$A$32:$A$44,0),MATCH(P$1,$A$1:$J$1,0)),(INDEX($A$32:$J$44,MATCH($M103,$A$32:$A$44,0),MATCH(P$1,$A$1:$J$1,0))-INDEX($A$32:$J$44,MATCH($M103,$A$32:$A$44,0)-1,MATCH(P$1,$A$1:$J$1,0)))/12+P102)</f>
        <v>1237.5000000000005</v>
      </c>
      <c r="Q103" s="46" cm="1">
        <f t="array" ref="Q103">IF($N103=12,INDEX($A$32:$J$44,MATCH($M103,$A$32:$A$44,0),MATCH(Q$1,$A$1:$J$1,0)),(INDEX($A$32:$J$44,MATCH($M103,$A$32:$A$44,0),MATCH(Q$1,$A$1:$J$1,0))-INDEX($A$32:$J$44,MATCH($M103,$A$32:$A$44,0)-1,MATCH(Q$1,$A$1:$J$1,0)))/12+Q102)</f>
        <v>95.000000000000028</v>
      </c>
      <c r="R103" s="46" cm="1">
        <f t="array" ref="R103">IF($N103=12,INDEX($A$32:$J$44,MATCH($M103,$A$32:$A$44,0),MATCH(R$1,$A$1:$J$1,0)),(INDEX($A$32:$J$44,MATCH($M103,$A$32:$A$44,0),MATCH(R$1,$A$1:$J$1,0))-INDEX($A$32:$J$44,MATCH($M103,$A$32:$A$44,0)-1,MATCH(R$1,$A$1:$J$1,0)))/12+R102)</f>
        <v>2992.0000000000009</v>
      </c>
      <c r="S103" s="46" cm="1">
        <f t="array" ref="S103">IF($N103=12,INDEX($A$32:$J$44,MATCH($M103,$A$32:$A$44,0),MATCH(S$1,$A$1:$J$1,0)),(INDEX($A$32:$J$44,MATCH($M103,$A$32:$A$44,0),MATCH(S$1,$A$1:$J$1,0))-INDEX($A$32:$J$44,MATCH($M103,$A$32:$A$44,0)-1,MATCH(S$1,$A$1:$J$1,0)))/12+S102)</f>
        <v>32</v>
      </c>
      <c r="T103" s="46" cm="1">
        <f t="array" ref="T103">IF($N103=12,INDEX($A$32:$J$44,MATCH($M103,$A$32:$A$44,0),MATCH(T$1,$A$1:$J$1,0)),(INDEX($A$32:$J$44,MATCH($M103,$A$32:$A$44,0),MATCH(T$1,$A$1:$J$1,0))-INDEX($A$32:$J$44,MATCH($M103,$A$32:$A$44,0)-1,MATCH(T$1,$A$1:$J$1,0)))/12+T102)</f>
        <v>17</v>
      </c>
      <c r="U103" s="46" cm="1">
        <f t="array" ref="U103">IF($N103=12,INDEX($A$32:$J$44,MATCH($M103,$A$32:$A$44,0),MATCH(U$1,$A$1:$J$1,0)),(INDEX($A$32:$J$44,MATCH($M103,$A$32:$A$44,0),MATCH(U$1,$A$1:$J$1,0))-INDEX($A$32:$J$44,MATCH($M103,$A$32:$A$44,0)-1,MATCH(U$1,$A$1:$J$1,0)))/12+U102)</f>
        <v>6</v>
      </c>
      <c r="V103" s="46" cm="1">
        <f t="array" ref="V103">IF($N103=12,INDEX($A$32:$J$44,MATCH($M103,$A$32:$A$44,0),MATCH(V$1,$A$1:$J$1,0)),(INDEX($A$32:$J$44,MATCH($M103,$A$32:$A$44,0),MATCH(V$1,$A$1:$J$1,0))-INDEX($A$32:$J$44,MATCH($M103,$A$32:$A$44,0)-1,MATCH(V$1,$A$1:$J$1,0)))/12+V102)</f>
        <v>15009.999999999996</v>
      </c>
      <c r="W103" s="46" cm="1">
        <f t="array" ref="W103">IF($N103=12,INDEX($A$32:$J$44,MATCH($M103,$A$32:$A$44,0),MATCH(W$1,$A$1:$J$1,0)),(INDEX($A$32:$J$44,MATCH($M103,$A$32:$A$44,0),MATCH(W$1,$A$1:$J$1,0))-INDEX($A$32:$J$44,MATCH($M103,$A$32:$A$44,0)-1,MATCH(W$1,$A$1:$J$1,0)))/12+W102)</f>
        <v>12114.000000000004</v>
      </c>
    </row>
    <row r="104" spans="12:23" x14ac:dyDescent="0.2">
      <c r="L104" s="211">
        <f>'Purchased Power Model'!A105</f>
        <v>43647</v>
      </c>
      <c r="M104" s="212">
        <f>'Purchased Power Model'!B105</f>
        <v>2019</v>
      </c>
      <c r="N104" s="212">
        <f>'Purchased Power Model'!C105</f>
        <v>7</v>
      </c>
      <c r="O104" s="46" cm="1">
        <f t="array" ref="O104">IF($N104=12,INDEX($A$32:$J$44,MATCH($M104,$A$32:$A$44,0),MATCH(O$1,$A$1:$J$1,0)),(INDEX($A$32:$J$44,MATCH($M104,$A$32:$A$44,0),MATCH(O$1,$A$1:$J$1,0))-INDEX($A$32:$J$44,MATCH($M104,$A$32:$A$44,0)-1,MATCH(O$1,$A$1:$J$1,0)))/12+O103)</f>
        <v>10640.25</v>
      </c>
      <c r="P104" s="46" cm="1">
        <f t="array" ref="P104">IF($N104=12,INDEX($A$32:$J$44,MATCH($M104,$A$32:$A$44,0),MATCH(P$1,$A$1:$J$1,0)),(INDEX($A$32:$J$44,MATCH($M104,$A$32:$A$44,0),MATCH(P$1,$A$1:$J$1,0))-INDEX($A$32:$J$44,MATCH($M104,$A$32:$A$44,0)-1,MATCH(P$1,$A$1:$J$1,0)))/12+P103)</f>
        <v>1237.4166666666672</v>
      </c>
      <c r="Q104" s="46" cm="1">
        <f t="array" ref="Q104">IF($N104=12,INDEX($A$32:$J$44,MATCH($M104,$A$32:$A$44,0),MATCH(Q$1,$A$1:$J$1,0)),(INDEX($A$32:$J$44,MATCH($M104,$A$32:$A$44,0),MATCH(Q$1,$A$1:$J$1,0))-INDEX($A$32:$J$44,MATCH($M104,$A$32:$A$44,0)-1,MATCH(Q$1,$A$1:$J$1,0)))/12+Q103)</f>
        <v>95.1666666666667</v>
      </c>
      <c r="R104" s="46" cm="1">
        <f t="array" ref="R104">IF($N104=12,INDEX($A$32:$J$44,MATCH($M104,$A$32:$A$44,0),MATCH(R$1,$A$1:$J$1,0)),(INDEX($A$32:$J$44,MATCH($M104,$A$32:$A$44,0),MATCH(R$1,$A$1:$J$1,0))-INDEX($A$32:$J$44,MATCH($M104,$A$32:$A$44,0)-1,MATCH(R$1,$A$1:$J$1,0)))/12+R103)</f>
        <v>2994.3333333333344</v>
      </c>
      <c r="S104" s="46" cm="1">
        <f t="array" ref="S104">IF($N104=12,INDEX($A$32:$J$44,MATCH($M104,$A$32:$A$44,0),MATCH(S$1,$A$1:$J$1,0)),(INDEX($A$32:$J$44,MATCH($M104,$A$32:$A$44,0),MATCH(S$1,$A$1:$J$1,0))-INDEX($A$32:$J$44,MATCH($M104,$A$32:$A$44,0)-1,MATCH(S$1,$A$1:$J$1,0)))/12+S103)</f>
        <v>32</v>
      </c>
      <c r="T104" s="46" cm="1">
        <f t="array" ref="T104">IF($N104=12,INDEX($A$32:$J$44,MATCH($M104,$A$32:$A$44,0),MATCH(T$1,$A$1:$J$1,0)),(INDEX($A$32:$J$44,MATCH($M104,$A$32:$A$44,0),MATCH(T$1,$A$1:$J$1,0))-INDEX($A$32:$J$44,MATCH($M104,$A$32:$A$44,0)-1,MATCH(T$1,$A$1:$J$1,0)))/12+T103)</f>
        <v>17</v>
      </c>
      <c r="U104" s="46" cm="1">
        <f t="array" ref="U104">IF($N104=12,INDEX($A$32:$J$44,MATCH($M104,$A$32:$A$44,0),MATCH(U$1,$A$1:$J$1,0)),(INDEX($A$32:$J$44,MATCH($M104,$A$32:$A$44,0),MATCH(U$1,$A$1:$J$1,0))-INDEX($A$32:$J$44,MATCH($M104,$A$32:$A$44,0)-1,MATCH(U$1,$A$1:$J$1,0)))/12+U103)</f>
        <v>6</v>
      </c>
      <c r="V104" s="46" cm="1">
        <f t="array" ref="V104">IF($N104=12,INDEX($A$32:$J$44,MATCH($M104,$A$32:$A$44,0),MATCH(V$1,$A$1:$J$1,0)),(INDEX($A$32:$J$44,MATCH($M104,$A$32:$A$44,0),MATCH(V$1,$A$1:$J$1,0))-INDEX($A$32:$J$44,MATCH($M104,$A$32:$A$44,0)-1,MATCH(V$1,$A$1:$J$1,0)))/12+V103)</f>
        <v>15022.166666666662</v>
      </c>
      <c r="W104" s="46" cm="1">
        <f t="array" ref="W104">IF($N104=12,INDEX($A$32:$J$44,MATCH($M104,$A$32:$A$44,0),MATCH(W$1,$A$1:$J$1,0)),(INDEX($A$32:$J$44,MATCH($M104,$A$32:$A$44,0),MATCH(W$1,$A$1:$J$1,0))-INDEX($A$32:$J$44,MATCH($M104,$A$32:$A$44,0)-1,MATCH(W$1,$A$1:$J$1,0)))/12+W103)</f>
        <v>12123.833333333338</v>
      </c>
    </row>
    <row r="105" spans="12:23" x14ac:dyDescent="0.2">
      <c r="L105" s="211">
        <f>'Purchased Power Model'!A106</f>
        <v>43678</v>
      </c>
      <c r="M105" s="212">
        <f>'Purchased Power Model'!B106</f>
        <v>2019</v>
      </c>
      <c r="N105" s="212">
        <f>'Purchased Power Model'!C106</f>
        <v>8</v>
      </c>
      <c r="O105" s="46" cm="1">
        <f t="array" ref="O105">IF($N105=12,INDEX($A$32:$J$44,MATCH($M105,$A$32:$A$44,0),MATCH(O$1,$A$1:$J$1,0)),(INDEX($A$32:$J$44,MATCH($M105,$A$32:$A$44,0),MATCH(O$1,$A$1:$J$1,0))-INDEX($A$32:$J$44,MATCH($M105,$A$32:$A$44,0)-1,MATCH(O$1,$A$1:$J$1,0)))/12+O104)</f>
        <v>10650</v>
      </c>
      <c r="P105" s="46" cm="1">
        <f t="array" ref="P105">IF($N105=12,INDEX($A$32:$J$44,MATCH($M105,$A$32:$A$44,0),MATCH(P$1,$A$1:$J$1,0)),(INDEX($A$32:$J$44,MATCH($M105,$A$32:$A$44,0),MATCH(P$1,$A$1:$J$1,0))-INDEX($A$32:$J$44,MATCH($M105,$A$32:$A$44,0)-1,MATCH(P$1,$A$1:$J$1,0)))/12+P104)</f>
        <v>1237.3333333333339</v>
      </c>
      <c r="Q105" s="46" cm="1">
        <f t="array" ref="Q105">IF($N105=12,INDEX($A$32:$J$44,MATCH($M105,$A$32:$A$44,0),MATCH(Q$1,$A$1:$J$1,0)),(INDEX($A$32:$J$44,MATCH($M105,$A$32:$A$44,0),MATCH(Q$1,$A$1:$J$1,0))-INDEX($A$32:$J$44,MATCH($M105,$A$32:$A$44,0)-1,MATCH(Q$1,$A$1:$J$1,0)))/12+Q104)</f>
        <v>95.333333333333371</v>
      </c>
      <c r="R105" s="46" cm="1">
        <f t="array" ref="R105">IF($N105=12,INDEX($A$32:$J$44,MATCH($M105,$A$32:$A$44,0),MATCH(R$1,$A$1:$J$1,0)),(INDEX($A$32:$J$44,MATCH($M105,$A$32:$A$44,0),MATCH(R$1,$A$1:$J$1,0))-INDEX($A$32:$J$44,MATCH($M105,$A$32:$A$44,0)-1,MATCH(R$1,$A$1:$J$1,0)))/12+R104)</f>
        <v>2996.6666666666679</v>
      </c>
      <c r="S105" s="46" cm="1">
        <f t="array" ref="S105">IF($N105=12,INDEX($A$32:$J$44,MATCH($M105,$A$32:$A$44,0),MATCH(S$1,$A$1:$J$1,0)),(INDEX($A$32:$J$44,MATCH($M105,$A$32:$A$44,0),MATCH(S$1,$A$1:$J$1,0))-INDEX($A$32:$J$44,MATCH($M105,$A$32:$A$44,0)-1,MATCH(S$1,$A$1:$J$1,0)))/12+S104)</f>
        <v>32</v>
      </c>
      <c r="T105" s="46" cm="1">
        <f t="array" ref="T105">IF($N105=12,INDEX($A$32:$J$44,MATCH($M105,$A$32:$A$44,0),MATCH(T$1,$A$1:$J$1,0)),(INDEX($A$32:$J$44,MATCH($M105,$A$32:$A$44,0),MATCH(T$1,$A$1:$J$1,0))-INDEX($A$32:$J$44,MATCH($M105,$A$32:$A$44,0)-1,MATCH(T$1,$A$1:$J$1,0)))/12+T104)</f>
        <v>17</v>
      </c>
      <c r="U105" s="46" cm="1">
        <f t="array" ref="U105">IF($N105=12,INDEX($A$32:$J$44,MATCH($M105,$A$32:$A$44,0),MATCH(U$1,$A$1:$J$1,0)),(INDEX($A$32:$J$44,MATCH($M105,$A$32:$A$44,0),MATCH(U$1,$A$1:$J$1,0))-INDEX($A$32:$J$44,MATCH($M105,$A$32:$A$44,0)-1,MATCH(U$1,$A$1:$J$1,0)))/12+U104)</f>
        <v>6</v>
      </c>
      <c r="V105" s="46" cm="1">
        <f t="array" ref="V105">IF($N105=12,INDEX($A$32:$J$44,MATCH($M105,$A$32:$A$44,0),MATCH(V$1,$A$1:$J$1,0)),(INDEX($A$32:$J$44,MATCH($M105,$A$32:$A$44,0),MATCH(V$1,$A$1:$J$1,0))-INDEX($A$32:$J$44,MATCH($M105,$A$32:$A$44,0)-1,MATCH(V$1,$A$1:$J$1,0)))/12+V104)</f>
        <v>15034.333333333328</v>
      </c>
      <c r="W105" s="46" cm="1">
        <f t="array" ref="W105">IF($N105=12,INDEX($A$32:$J$44,MATCH($M105,$A$32:$A$44,0),MATCH(W$1,$A$1:$J$1,0)),(INDEX($A$32:$J$44,MATCH($M105,$A$32:$A$44,0),MATCH(W$1,$A$1:$J$1,0))-INDEX($A$32:$J$44,MATCH($M105,$A$32:$A$44,0)-1,MATCH(W$1,$A$1:$J$1,0)))/12+W104)</f>
        <v>12133.666666666672</v>
      </c>
    </row>
    <row r="106" spans="12:23" x14ac:dyDescent="0.2">
      <c r="L106" s="211">
        <f>'Purchased Power Model'!A107</f>
        <v>43709</v>
      </c>
      <c r="M106" s="212">
        <f>'Purchased Power Model'!B107</f>
        <v>2019</v>
      </c>
      <c r="N106" s="212">
        <f>'Purchased Power Model'!C107</f>
        <v>9</v>
      </c>
      <c r="O106" s="46" cm="1">
        <f t="array" ref="O106">IF($N106=12,INDEX($A$32:$J$44,MATCH($M106,$A$32:$A$44,0),MATCH(O$1,$A$1:$J$1,0)),(INDEX($A$32:$J$44,MATCH($M106,$A$32:$A$44,0),MATCH(O$1,$A$1:$J$1,0))-INDEX($A$32:$J$44,MATCH($M106,$A$32:$A$44,0)-1,MATCH(O$1,$A$1:$J$1,0)))/12+O105)</f>
        <v>10659.75</v>
      </c>
      <c r="P106" s="46" cm="1">
        <f t="array" ref="P106">IF($N106=12,INDEX($A$32:$J$44,MATCH($M106,$A$32:$A$44,0),MATCH(P$1,$A$1:$J$1,0)),(INDEX($A$32:$J$44,MATCH($M106,$A$32:$A$44,0),MATCH(P$1,$A$1:$J$1,0))-INDEX($A$32:$J$44,MATCH($M106,$A$32:$A$44,0)-1,MATCH(P$1,$A$1:$J$1,0)))/12+P105)</f>
        <v>1237.2500000000007</v>
      </c>
      <c r="Q106" s="46" cm="1">
        <f t="array" ref="Q106">IF($N106=12,INDEX($A$32:$J$44,MATCH($M106,$A$32:$A$44,0),MATCH(Q$1,$A$1:$J$1,0)),(INDEX($A$32:$J$44,MATCH($M106,$A$32:$A$44,0),MATCH(Q$1,$A$1:$J$1,0))-INDEX($A$32:$J$44,MATCH($M106,$A$32:$A$44,0)-1,MATCH(Q$1,$A$1:$J$1,0)))/12+Q105)</f>
        <v>95.500000000000043</v>
      </c>
      <c r="R106" s="46" cm="1">
        <f t="array" ref="R106">IF($N106=12,INDEX($A$32:$J$44,MATCH($M106,$A$32:$A$44,0),MATCH(R$1,$A$1:$J$1,0)),(INDEX($A$32:$J$44,MATCH($M106,$A$32:$A$44,0),MATCH(R$1,$A$1:$J$1,0))-INDEX($A$32:$J$44,MATCH($M106,$A$32:$A$44,0)-1,MATCH(R$1,$A$1:$J$1,0)))/12+R105)</f>
        <v>2999.0000000000014</v>
      </c>
      <c r="S106" s="46" cm="1">
        <f t="array" ref="S106">IF($N106=12,INDEX($A$32:$J$44,MATCH($M106,$A$32:$A$44,0),MATCH(S$1,$A$1:$J$1,0)),(INDEX($A$32:$J$44,MATCH($M106,$A$32:$A$44,0),MATCH(S$1,$A$1:$J$1,0))-INDEX($A$32:$J$44,MATCH($M106,$A$32:$A$44,0)-1,MATCH(S$1,$A$1:$J$1,0)))/12+S105)</f>
        <v>32</v>
      </c>
      <c r="T106" s="46" cm="1">
        <f t="array" ref="T106">IF($N106=12,INDEX($A$32:$J$44,MATCH($M106,$A$32:$A$44,0),MATCH(T$1,$A$1:$J$1,0)),(INDEX($A$32:$J$44,MATCH($M106,$A$32:$A$44,0),MATCH(T$1,$A$1:$J$1,0))-INDEX($A$32:$J$44,MATCH($M106,$A$32:$A$44,0)-1,MATCH(T$1,$A$1:$J$1,0)))/12+T105)</f>
        <v>17</v>
      </c>
      <c r="U106" s="46" cm="1">
        <f t="array" ref="U106">IF($N106=12,INDEX($A$32:$J$44,MATCH($M106,$A$32:$A$44,0),MATCH(U$1,$A$1:$J$1,0)),(INDEX($A$32:$J$44,MATCH($M106,$A$32:$A$44,0),MATCH(U$1,$A$1:$J$1,0))-INDEX($A$32:$J$44,MATCH($M106,$A$32:$A$44,0)-1,MATCH(U$1,$A$1:$J$1,0)))/12+U105)</f>
        <v>6</v>
      </c>
      <c r="V106" s="46" cm="1">
        <f t="array" ref="V106">IF($N106=12,INDEX($A$32:$J$44,MATCH($M106,$A$32:$A$44,0),MATCH(V$1,$A$1:$J$1,0)),(INDEX($A$32:$J$44,MATCH($M106,$A$32:$A$44,0),MATCH(V$1,$A$1:$J$1,0))-INDEX($A$32:$J$44,MATCH($M106,$A$32:$A$44,0)-1,MATCH(V$1,$A$1:$J$1,0)))/12+V105)</f>
        <v>15046.499999999995</v>
      </c>
      <c r="W106" s="46" cm="1">
        <f t="array" ref="W106">IF($N106=12,INDEX($A$32:$J$44,MATCH($M106,$A$32:$A$44,0),MATCH(W$1,$A$1:$J$1,0)),(INDEX($A$32:$J$44,MATCH($M106,$A$32:$A$44,0),MATCH(W$1,$A$1:$J$1,0))-INDEX($A$32:$J$44,MATCH($M106,$A$32:$A$44,0)-1,MATCH(W$1,$A$1:$J$1,0)))/12+W105)</f>
        <v>12143.500000000005</v>
      </c>
    </row>
    <row r="107" spans="12:23" x14ac:dyDescent="0.2">
      <c r="L107" s="211">
        <f>'Purchased Power Model'!A108</f>
        <v>43739</v>
      </c>
      <c r="M107" s="212">
        <f>'Purchased Power Model'!B108</f>
        <v>2019</v>
      </c>
      <c r="N107" s="212">
        <f>'Purchased Power Model'!C108</f>
        <v>10</v>
      </c>
      <c r="O107" s="46" cm="1">
        <f t="array" ref="O107">IF($N107=12,INDEX($A$32:$J$44,MATCH($M107,$A$32:$A$44,0),MATCH(O$1,$A$1:$J$1,0)),(INDEX($A$32:$J$44,MATCH($M107,$A$32:$A$44,0),MATCH(O$1,$A$1:$J$1,0))-INDEX($A$32:$J$44,MATCH($M107,$A$32:$A$44,0)-1,MATCH(O$1,$A$1:$J$1,0)))/12+O106)</f>
        <v>10669.5</v>
      </c>
      <c r="P107" s="46" cm="1">
        <f t="array" ref="P107">IF($N107=12,INDEX($A$32:$J$44,MATCH($M107,$A$32:$A$44,0),MATCH(P$1,$A$1:$J$1,0)),(INDEX($A$32:$J$44,MATCH($M107,$A$32:$A$44,0),MATCH(P$1,$A$1:$J$1,0))-INDEX($A$32:$J$44,MATCH($M107,$A$32:$A$44,0)-1,MATCH(P$1,$A$1:$J$1,0)))/12+P106)</f>
        <v>1237.1666666666674</v>
      </c>
      <c r="Q107" s="46" cm="1">
        <f t="array" ref="Q107">IF($N107=12,INDEX($A$32:$J$44,MATCH($M107,$A$32:$A$44,0),MATCH(Q$1,$A$1:$J$1,0)),(INDEX($A$32:$J$44,MATCH($M107,$A$32:$A$44,0),MATCH(Q$1,$A$1:$J$1,0))-INDEX($A$32:$J$44,MATCH($M107,$A$32:$A$44,0)-1,MATCH(Q$1,$A$1:$J$1,0)))/12+Q106)</f>
        <v>95.666666666666714</v>
      </c>
      <c r="R107" s="46" cm="1">
        <f t="array" ref="R107">IF($N107=12,INDEX($A$32:$J$44,MATCH($M107,$A$32:$A$44,0),MATCH(R$1,$A$1:$J$1,0)),(INDEX($A$32:$J$44,MATCH($M107,$A$32:$A$44,0),MATCH(R$1,$A$1:$J$1,0))-INDEX($A$32:$J$44,MATCH($M107,$A$32:$A$44,0)-1,MATCH(R$1,$A$1:$J$1,0)))/12+R106)</f>
        <v>3001.3333333333348</v>
      </c>
      <c r="S107" s="46" cm="1">
        <f t="array" ref="S107">IF($N107=12,INDEX($A$32:$J$44,MATCH($M107,$A$32:$A$44,0),MATCH(S$1,$A$1:$J$1,0)),(INDEX($A$32:$J$44,MATCH($M107,$A$32:$A$44,0),MATCH(S$1,$A$1:$J$1,0))-INDEX($A$32:$J$44,MATCH($M107,$A$32:$A$44,0)-1,MATCH(S$1,$A$1:$J$1,0)))/12+S106)</f>
        <v>32</v>
      </c>
      <c r="T107" s="46" cm="1">
        <f t="array" ref="T107">IF($N107=12,INDEX($A$32:$J$44,MATCH($M107,$A$32:$A$44,0),MATCH(T$1,$A$1:$J$1,0)),(INDEX($A$32:$J$44,MATCH($M107,$A$32:$A$44,0),MATCH(T$1,$A$1:$J$1,0))-INDEX($A$32:$J$44,MATCH($M107,$A$32:$A$44,0)-1,MATCH(T$1,$A$1:$J$1,0)))/12+T106)</f>
        <v>17</v>
      </c>
      <c r="U107" s="46" cm="1">
        <f t="array" ref="U107">IF($N107=12,INDEX($A$32:$J$44,MATCH($M107,$A$32:$A$44,0),MATCH(U$1,$A$1:$J$1,0)),(INDEX($A$32:$J$44,MATCH($M107,$A$32:$A$44,0),MATCH(U$1,$A$1:$J$1,0))-INDEX($A$32:$J$44,MATCH($M107,$A$32:$A$44,0)-1,MATCH(U$1,$A$1:$J$1,0)))/12+U106)</f>
        <v>6</v>
      </c>
      <c r="V107" s="46" cm="1">
        <f t="array" ref="V107">IF($N107=12,INDEX($A$32:$J$44,MATCH($M107,$A$32:$A$44,0),MATCH(V$1,$A$1:$J$1,0)),(INDEX($A$32:$J$44,MATCH($M107,$A$32:$A$44,0),MATCH(V$1,$A$1:$J$1,0))-INDEX($A$32:$J$44,MATCH($M107,$A$32:$A$44,0)-1,MATCH(V$1,$A$1:$J$1,0)))/12+V106)</f>
        <v>15058.666666666661</v>
      </c>
      <c r="W107" s="46" cm="1">
        <f t="array" ref="W107">IF($N107=12,INDEX($A$32:$J$44,MATCH($M107,$A$32:$A$44,0),MATCH(W$1,$A$1:$J$1,0)),(INDEX($A$32:$J$44,MATCH($M107,$A$32:$A$44,0),MATCH(W$1,$A$1:$J$1,0))-INDEX($A$32:$J$44,MATCH($M107,$A$32:$A$44,0)-1,MATCH(W$1,$A$1:$J$1,0)))/12+W106)</f>
        <v>12153.333333333339</v>
      </c>
    </row>
    <row r="108" spans="12:23" x14ac:dyDescent="0.2">
      <c r="L108" s="211">
        <f>'Purchased Power Model'!A109</f>
        <v>43770</v>
      </c>
      <c r="M108" s="212">
        <f>'Purchased Power Model'!B109</f>
        <v>2019</v>
      </c>
      <c r="N108" s="212">
        <f>'Purchased Power Model'!C109</f>
        <v>11</v>
      </c>
      <c r="O108" s="46" cm="1">
        <f t="array" ref="O108">IF($N108=12,INDEX($A$32:$J$44,MATCH($M108,$A$32:$A$44,0),MATCH(O$1,$A$1:$J$1,0)),(INDEX($A$32:$J$44,MATCH($M108,$A$32:$A$44,0),MATCH(O$1,$A$1:$J$1,0))-INDEX($A$32:$J$44,MATCH($M108,$A$32:$A$44,0)-1,MATCH(O$1,$A$1:$J$1,0)))/12+O107)</f>
        <v>10679.25</v>
      </c>
      <c r="P108" s="46" cm="1">
        <f t="array" ref="P108">IF($N108=12,INDEX($A$32:$J$44,MATCH($M108,$A$32:$A$44,0),MATCH(P$1,$A$1:$J$1,0)),(INDEX($A$32:$J$44,MATCH($M108,$A$32:$A$44,0),MATCH(P$1,$A$1:$J$1,0))-INDEX($A$32:$J$44,MATCH($M108,$A$32:$A$44,0)-1,MATCH(P$1,$A$1:$J$1,0)))/12+P107)</f>
        <v>1237.0833333333342</v>
      </c>
      <c r="Q108" s="46" cm="1">
        <f t="array" ref="Q108">IF($N108=12,INDEX($A$32:$J$44,MATCH($M108,$A$32:$A$44,0),MATCH(Q$1,$A$1:$J$1,0)),(INDEX($A$32:$J$44,MATCH($M108,$A$32:$A$44,0),MATCH(Q$1,$A$1:$J$1,0))-INDEX($A$32:$J$44,MATCH($M108,$A$32:$A$44,0)-1,MATCH(Q$1,$A$1:$J$1,0)))/12+Q107)</f>
        <v>95.833333333333385</v>
      </c>
      <c r="R108" s="46" cm="1">
        <f t="array" ref="R108">IF($N108=12,INDEX($A$32:$J$44,MATCH($M108,$A$32:$A$44,0),MATCH(R$1,$A$1:$J$1,0)),(INDEX($A$32:$J$44,MATCH($M108,$A$32:$A$44,0),MATCH(R$1,$A$1:$J$1,0))-INDEX($A$32:$J$44,MATCH($M108,$A$32:$A$44,0)-1,MATCH(R$1,$A$1:$J$1,0)))/12+R107)</f>
        <v>3003.6666666666683</v>
      </c>
      <c r="S108" s="46" cm="1">
        <f t="array" ref="S108">IF($N108=12,INDEX($A$32:$J$44,MATCH($M108,$A$32:$A$44,0),MATCH(S$1,$A$1:$J$1,0)),(INDEX($A$32:$J$44,MATCH($M108,$A$32:$A$44,0),MATCH(S$1,$A$1:$J$1,0))-INDEX($A$32:$J$44,MATCH($M108,$A$32:$A$44,0)-1,MATCH(S$1,$A$1:$J$1,0)))/12+S107)</f>
        <v>32</v>
      </c>
      <c r="T108" s="46" cm="1">
        <f t="array" ref="T108">IF($N108=12,INDEX($A$32:$J$44,MATCH($M108,$A$32:$A$44,0),MATCH(T$1,$A$1:$J$1,0)),(INDEX($A$32:$J$44,MATCH($M108,$A$32:$A$44,0),MATCH(T$1,$A$1:$J$1,0))-INDEX($A$32:$J$44,MATCH($M108,$A$32:$A$44,0)-1,MATCH(T$1,$A$1:$J$1,0)))/12+T107)</f>
        <v>17</v>
      </c>
      <c r="U108" s="46" cm="1">
        <f t="array" ref="U108">IF($N108=12,INDEX($A$32:$J$44,MATCH($M108,$A$32:$A$44,0),MATCH(U$1,$A$1:$J$1,0)),(INDEX($A$32:$J$44,MATCH($M108,$A$32:$A$44,0),MATCH(U$1,$A$1:$J$1,0))-INDEX($A$32:$J$44,MATCH($M108,$A$32:$A$44,0)-1,MATCH(U$1,$A$1:$J$1,0)))/12+U107)</f>
        <v>6</v>
      </c>
      <c r="V108" s="46" cm="1">
        <f t="array" ref="V108">IF($N108=12,INDEX($A$32:$J$44,MATCH($M108,$A$32:$A$44,0),MATCH(V$1,$A$1:$J$1,0)),(INDEX($A$32:$J$44,MATCH($M108,$A$32:$A$44,0),MATCH(V$1,$A$1:$J$1,0))-INDEX($A$32:$J$44,MATCH($M108,$A$32:$A$44,0)-1,MATCH(V$1,$A$1:$J$1,0)))/12+V107)</f>
        <v>15070.833333333327</v>
      </c>
      <c r="W108" s="46" cm="1">
        <f t="array" ref="W108">IF($N108=12,INDEX($A$32:$J$44,MATCH($M108,$A$32:$A$44,0),MATCH(W$1,$A$1:$J$1,0)),(INDEX($A$32:$J$44,MATCH($M108,$A$32:$A$44,0),MATCH(W$1,$A$1:$J$1,0))-INDEX($A$32:$J$44,MATCH($M108,$A$32:$A$44,0)-1,MATCH(W$1,$A$1:$J$1,0)))/12+W107)</f>
        <v>12163.166666666673</v>
      </c>
    </row>
    <row r="109" spans="12:23" x14ac:dyDescent="0.2">
      <c r="L109" s="211">
        <f>'Purchased Power Model'!A110</f>
        <v>43800</v>
      </c>
      <c r="M109" s="212">
        <f>'Purchased Power Model'!B110</f>
        <v>2019</v>
      </c>
      <c r="N109" s="212">
        <f>'Purchased Power Model'!C110</f>
        <v>12</v>
      </c>
      <c r="O109" s="46" cm="1">
        <f t="array" ref="O109">IF($N109=12,INDEX($A$32:$J$44,MATCH($M109,$A$32:$A$44,0),MATCH(O$1,$A$1:$J$1,0)),(INDEX($A$32:$J$44,MATCH($M109,$A$32:$A$44,0),MATCH(O$1,$A$1:$J$1,0))-INDEX($A$32:$J$44,MATCH($M109,$A$32:$A$44,0)-1,MATCH(O$1,$A$1:$J$1,0)))/12+O108)</f>
        <v>10689</v>
      </c>
      <c r="P109" s="46" cm="1">
        <f t="array" ref="P109">IF($N109=12,INDEX($A$32:$J$44,MATCH($M109,$A$32:$A$44,0),MATCH(P$1,$A$1:$J$1,0)),(INDEX($A$32:$J$44,MATCH($M109,$A$32:$A$44,0),MATCH(P$1,$A$1:$J$1,0))-INDEX($A$32:$J$44,MATCH($M109,$A$32:$A$44,0)-1,MATCH(P$1,$A$1:$J$1,0)))/12+P108)</f>
        <v>1237</v>
      </c>
      <c r="Q109" s="46" cm="1">
        <f t="array" ref="Q109">IF($N109=12,INDEX($A$32:$J$44,MATCH($M109,$A$32:$A$44,0),MATCH(Q$1,$A$1:$J$1,0)),(INDEX($A$32:$J$44,MATCH($M109,$A$32:$A$44,0),MATCH(Q$1,$A$1:$J$1,0))-INDEX($A$32:$J$44,MATCH($M109,$A$32:$A$44,0)-1,MATCH(Q$1,$A$1:$J$1,0)))/12+Q108)</f>
        <v>96</v>
      </c>
      <c r="R109" s="46" cm="1">
        <f t="array" ref="R109">IF($N109=12,INDEX($A$32:$J$44,MATCH($M109,$A$32:$A$44,0),MATCH(R$1,$A$1:$J$1,0)),(INDEX($A$32:$J$44,MATCH($M109,$A$32:$A$44,0),MATCH(R$1,$A$1:$J$1,0))-INDEX($A$32:$J$44,MATCH($M109,$A$32:$A$44,0)-1,MATCH(R$1,$A$1:$J$1,0)))/12+R108)</f>
        <v>3006</v>
      </c>
      <c r="S109" s="46" cm="1">
        <f t="array" ref="S109">IF($N109=12,INDEX($A$32:$J$44,MATCH($M109,$A$32:$A$44,0),MATCH(S$1,$A$1:$J$1,0)),(INDEX($A$32:$J$44,MATCH($M109,$A$32:$A$44,0),MATCH(S$1,$A$1:$J$1,0))-INDEX($A$32:$J$44,MATCH($M109,$A$32:$A$44,0)-1,MATCH(S$1,$A$1:$J$1,0)))/12+S108)</f>
        <v>32</v>
      </c>
      <c r="T109" s="46" cm="1">
        <f t="array" ref="T109">IF($N109=12,INDEX($A$32:$J$44,MATCH($M109,$A$32:$A$44,0),MATCH(T$1,$A$1:$J$1,0)),(INDEX($A$32:$J$44,MATCH($M109,$A$32:$A$44,0),MATCH(T$1,$A$1:$J$1,0))-INDEX($A$32:$J$44,MATCH($M109,$A$32:$A$44,0)-1,MATCH(T$1,$A$1:$J$1,0)))/12+T108)</f>
        <v>17</v>
      </c>
      <c r="U109" s="46" cm="1">
        <f t="array" ref="U109">IF($N109=12,INDEX($A$32:$J$44,MATCH($M109,$A$32:$A$44,0),MATCH(U$1,$A$1:$J$1,0)),(INDEX($A$32:$J$44,MATCH($M109,$A$32:$A$44,0),MATCH(U$1,$A$1:$J$1,0))-INDEX($A$32:$J$44,MATCH($M109,$A$32:$A$44,0)-1,MATCH(U$1,$A$1:$J$1,0)))/12+U108)</f>
        <v>6</v>
      </c>
      <c r="V109" s="46" cm="1">
        <f t="array" ref="V109">IF($N109=12,INDEX($A$32:$J$44,MATCH($M109,$A$32:$A$44,0),MATCH(V$1,$A$1:$J$1,0)),(INDEX($A$32:$J$44,MATCH($M109,$A$32:$A$44,0),MATCH(V$1,$A$1:$J$1,0))-INDEX($A$32:$J$44,MATCH($M109,$A$32:$A$44,0)-1,MATCH(V$1,$A$1:$J$1,0)))/12+V108)</f>
        <v>15083</v>
      </c>
      <c r="W109" s="46" cm="1">
        <f t="array" ref="W109">IF($N109=12,INDEX($A$32:$J$44,MATCH($M109,$A$32:$A$44,0),MATCH(W$1,$A$1:$J$1,0)),(INDEX($A$32:$J$44,MATCH($M109,$A$32:$A$44,0),MATCH(W$1,$A$1:$J$1,0))-INDEX($A$32:$J$44,MATCH($M109,$A$32:$A$44,0)-1,MATCH(W$1,$A$1:$J$1,0)))/12+W108)</f>
        <v>12173</v>
      </c>
    </row>
    <row r="110" spans="12:23" x14ac:dyDescent="0.2">
      <c r="L110" s="211">
        <f>'Purchased Power Model'!A111</f>
        <v>43831</v>
      </c>
      <c r="M110" s="212">
        <f>'Purchased Power Model'!B111</f>
        <v>2020</v>
      </c>
      <c r="N110" s="212">
        <f>'Purchased Power Model'!C111</f>
        <v>1</v>
      </c>
      <c r="O110" s="46" cm="1">
        <f t="array" ref="O110">IF($N110=12,INDEX($A$32:$J$44,MATCH($M110,$A$32:$A$44,0),MATCH(O$1,$A$1:$J$1,0)),(INDEX($A$32:$J$44,MATCH($M110,$A$32:$A$44,0),MATCH(O$1,$A$1:$J$1,0))-INDEX($A$32:$J$44,MATCH($M110,$A$32:$A$44,0)-1,MATCH(O$1,$A$1:$J$1,0)))/12+O109)</f>
        <v>10703.416666666666</v>
      </c>
      <c r="P110" s="46" cm="1">
        <f t="array" ref="P110">IF($N110=12,INDEX($A$32:$J$44,MATCH($M110,$A$32:$A$44,0),MATCH(P$1,$A$1:$J$1,0)),(INDEX($A$32:$J$44,MATCH($M110,$A$32:$A$44,0),MATCH(P$1,$A$1:$J$1,0))-INDEX($A$32:$J$44,MATCH($M110,$A$32:$A$44,0)-1,MATCH(P$1,$A$1:$J$1,0)))/12+P109)</f>
        <v>1238.3333333333333</v>
      </c>
      <c r="Q110" s="46" cm="1">
        <f t="array" ref="Q110">IF($N110=12,INDEX($A$32:$J$44,MATCH($M110,$A$32:$A$44,0),MATCH(Q$1,$A$1:$J$1,0)),(INDEX($A$32:$J$44,MATCH($M110,$A$32:$A$44,0),MATCH(Q$1,$A$1:$J$1,0))-INDEX($A$32:$J$44,MATCH($M110,$A$32:$A$44,0)-1,MATCH(Q$1,$A$1:$J$1,0)))/12+Q109)</f>
        <v>96.166666666666671</v>
      </c>
      <c r="R110" s="46" cm="1">
        <f t="array" ref="R110">IF($N110=12,INDEX($A$32:$J$44,MATCH($M110,$A$32:$A$44,0),MATCH(R$1,$A$1:$J$1,0)),(INDEX($A$32:$J$44,MATCH($M110,$A$32:$A$44,0),MATCH(R$1,$A$1:$J$1,0))-INDEX($A$32:$J$44,MATCH($M110,$A$32:$A$44,0)-1,MATCH(R$1,$A$1:$J$1,0)))/12+R109)</f>
        <v>3012.1666666666665</v>
      </c>
      <c r="S110" s="46" cm="1">
        <f t="array" ref="S110">IF($N110=12,INDEX($A$32:$J$44,MATCH($M110,$A$32:$A$44,0),MATCH(S$1,$A$1:$J$1,0)),(INDEX($A$32:$J$44,MATCH($M110,$A$32:$A$44,0),MATCH(S$1,$A$1:$J$1,0))-INDEX($A$32:$J$44,MATCH($M110,$A$32:$A$44,0)-1,MATCH(S$1,$A$1:$J$1,0)))/12+S109)</f>
        <v>32</v>
      </c>
      <c r="T110" s="46" cm="1">
        <f t="array" ref="T110">IF($N110=12,INDEX($A$32:$J$44,MATCH($M110,$A$32:$A$44,0),MATCH(T$1,$A$1:$J$1,0)),(INDEX($A$32:$J$44,MATCH($M110,$A$32:$A$44,0),MATCH(T$1,$A$1:$J$1,0))-INDEX($A$32:$J$44,MATCH($M110,$A$32:$A$44,0)-1,MATCH(T$1,$A$1:$J$1,0)))/12+T109)</f>
        <v>17</v>
      </c>
      <c r="U110" s="46" cm="1">
        <f t="array" ref="U110">IF($N110=12,INDEX($A$32:$J$44,MATCH($M110,$A$32:$A$44,0),MATCH(U$1,$A$1:$J$1,0)),(INDEX($A$32:$J$44,MATCH($M110,$A$32:$A$44,0),MATCH(U$1,$A$1:$J$1,0))-INDEX($A$32:$J$44,MATCH($M110,$A$32:$A$44,0)-1,MATCH(U$1,$A$1:$J$1,0)))/12+U109)</f>
        <v>6</v>
      </c>
      <c r="V110" s="46" cm="1">
        <f t="array" ref="V110">IF($N110=12,INDEX($A$32:$J$44,MATCH($M110,$A$32:$A$44,0),MATCH(V$1,$A$1:$J$1,0)),(INDEX($A$32:$J$44,MATCH($M110,$A$32:$A$44,0),MATCH(V$1,$A$1:$J$1,0))-INDEX($A$32:$J$44,MATCH($M110,$A$32:$A$44,0)-1,MATCH(V$1,$A$1:$J$1,0)))/12+V109)</f>
        <v>15105.083333333334</v>
      </c>
      <c r="W110" s="46" cm="1">
        <f t="array" ref="W110">IF($N110=12,INDEX($A$32:$J$44,MATCH($M110,$A$32:$A$44,0),MATCH(W$1,$A$1:$J$1,0)),(INDEX($A$32:$J$44,MATCH($M110,$A$32:$A$44,0),MATCH(W$1,$A$1:$J$1,0))-INDEX($A$32:$J$44,MATCH($M110,$A$32:$A$44,0)-1,MATCH(W$1,$A$1:$J$1,0)))/12+W109)</f>
        <v>12188.916666666666</v>
      </c>
    </row>
    <row r="111" spans="12:23" x14ac:dyDescent="0.2">
      <c r="L111" s="211">
        <f>'Purchased Power Model'!A112</f>
        <v>43862</v>
      </c>
      <c r="M111" s="212">
        <f>'Purchased Power Model'!B112</f>
        <v>2020</v>
      </c>
      <c r="N111" s="212">
        <f>'Purchased Power Model'!C112</f>
        <v>2</v>
      </c>
      <c r="O111" s="46" cm="1">
        <f t="array" ref="O111">IF($N111=12,INDEX($A$32:$J$44,MATCH($M111,$A$32:$A$44,0),MATCH(O$1,$A$1:$J$1,0)),(INDEX($A$32:$J$44,MATCH($M111,$A$32:$A$44,0),MATCH(O$1,$A$1:$J$1,0))-INDEX($A$32:$J$44,MATCH($M111,$A$32:$A$44,0)-1,MATCH(O$1,$A$1:$J$1,0)))/12+O110)</f>
        <v>10717.833333333332</v>
      </c>
      <c r="P111" s="46" cm="1">
        <f t="array" ref="P111">IF($N111=12,INDEX($A$32:$J$44,MATCH($M111,$A$32:$A$44,0),MATCH(P$1,$A$1:$J$1,0)),(INDEX($A$32:$J$44,MATCH($M111,$A$32:$A$44,0),MATCH(P$1,$A$1:$J$1,0))-INDEX($A$32:$J$44,MATCH($M111,$A$32:$A$44,0)-1,MATCH(P$1,$A$1:$J$1,0)))/12+P110)</f>
        <v>1239.6666666666665</v>
      </c>
      <c r="Q111" s="46" cm="1">
        <f t="array" ref="Q111">IF($N111=12,INDEX($A$32:$J$44,MATCH($M111,$A$32:$A$44,0),MATCH(Q$1,$A$1:$J$1,0)),(INDEX($A$32:$J$44,MATCH($M111,$A$32:$A$44,0),MATCH(Q$1,$A$1:$J$1,0))-INDEX($A$32:$J$44,MATCH($M111,$A$32:$A$44,0)-1,MATCH(Q$1,$A$1:$J$1,0)))/12+Q110)</f>
        <v>96.333333333333343</v>
      </c>
      <c r="R111" s="46" cm="1">
        <f t="array" ref="R111">IF($N111=12,INDEX($A$32:$J$44,MATCH($M111,$A$32:$A$44,0),MATCH(R$1,$A$1:$J$1,0)),(INDEX($A$32:$J$44,MATCH($M111,$A$32:$A$44,0),MATCH(R$1,$A$1:$J$1,0))-INDEX($A$32:$J$44,MATCH($M111,$A$32:$A$44,0)-1,MATCH(R$1,$A$1:$J$1,0)))/12+R110)</f>
        <v>3018.333333333333</v>
      </c>
      <c r="S111" s="46" cm="1">
        <f t="array" ref="S111">IF($N111=12,INDEX($A$32:$J$44,MATCH($M111,$A$32:$A$44,0),MATCH(S$1,$A$1:$J$1,0)),(INDEX($A$32:$J$44,MATCH($M111,$A$32:$A$44,0),MATCH(S$1,$A$1:$J$1,0))-INDEX($A$32:$J$44,MATCH($M111,$A$32:$A$44,0)-1,MATCH(S$1,$A$1:$J$1,0)))/12+S110)</f>
        <v>32</v>
      </c>
      <c r="T111" s="46" cm="1">
        <f t="array" ref="T111">IF($N111=12,INDEX($A$32:$J$44,MATCH($M111,$A$32:$A$44,0),MATCH(T$1,$A$1:$J$1,0)),(INDEX($A$32:$J$44,MATCH($M111,$A$32:$A$44,0),MATCH(T$1,$A$1:$J$1,0))-INDEX($A$32:$J$44,MATCH($M111,$A$32:$A$44,0)-1,MATCH(T$1,$A$1:$J$1,0)))/12+T110)</f>
        <v>17</v>
      </c>
      <c r="U111" s="46" cm="1">
        <f t="array" ref="U111">IF($N111=12,INDEX($A$32:$J$44,MATCH($M111,$A$32:$A$44,0),MATCH(U$1,$A$1:$J$1,0)),(INDEX($A$32:$J$44,MATCH($M111,$A$32:$A$44,0),MATCH(U$1,$A$1:$J$1,0))-INDEX($A$32:$J$44,MATCH($M111,$A$32:$A$44,0)-1,MATCH(U$1,$A$1:$J$1,0)))/12+U110)</f>
        <v>6</v>
      </c>
      <c r="V111" s="46" cm="1">
        <f t="array" ref="V111">IF($N111=12,INDEX($A$32:$J$44,MATCH($M111,$A$32:$A$44,0),MATCH(V$1,$A$1:$J$1,0)),(INDEX($A$32:$J$44,MATCH($M111,$A$32:$A$44,0),MATCH(V$1,$A$1:$J$1,0))-INDEX($A$32:$J$44,MATCH($M111,$A$32:$A$44,0)-1,MATCH(V$1,$A$1:$J$1,0)))/12+V110)</f>
        <v>15127.166666666668</v>
      </c>
      <c r="W111" s="46" cm="1">
        <f t="array" ref="W111">IF($N111=12,INDEX($A$32:$J$44,MATCH($M111,$A$32:$A$44,0),MATCH(W$1,$A$1:$J$1,0)),(INDEX($A$32:$J$44,MATCH($M111,$A$32:$A$44,0),MATCH(W$1,$A$1:$J$1,0))-INDEX($A$32:$J$44,MATCH($M111,$A$32:$A$44,0)-1,MATCH(W$1,$A$1:$J$1,0)))/12+W110)</f>
        <v>12204.833333333332</v>
      </c>
    </row>
    <row r="112" spans="12:23" x14ac:dyDescent="0.2">
      <c r="L112" s="211">
        <f>'Purchased Power Model'!A113</f>
        <v>43891</v>
      </c>
      <c r="M112" s="212">
        <f>'Purchased Power Model'!B113</f>
        <v>2020</v>
      </c>
      <c r="N112" s="212">
        <f>'Purchased Power Model'!C113</f>
        <v>3</v>
      </c>
      <c r="O112" s="46" cm="1">
        <f t="array" ref="O112">IF($N112=12,INDEX($A$32:$J$44,MATCH($M112,$A$32:$A$44,0),MATCH(O$1,$A$1:$J$1,0)),(INDEX($A$32:$J$44,MATCH($M112,$A$32:$A$44,0),MATCH(O$1,$A$1:$J$1,0))-INDEX($A$32:$J$44,MATCH($M112,$A$32:$A$44,0)-1,MATCH(O$1,$A$1:$J$1,0)))/12+O111)</f>
        <v>10732.249999999998</v>
      </c>
      <c r="P112" s="46" cm="1">
        <f t="array" ref="P112">IF($N112=12,INDEX($A$32:$J$44,MATCH($M112,$A$32:$A$44,0),MATCH(P$1,$A$1:$J$1,0)),(INDEX($A$32:$J$44,MATCH($M112,$A$32:$A$44,0),MATCH(P$1,$A$1:$J$1,0))-INDEX($A$32:$J$44,MATCH($M112,$A$32:$A$44,0)-1,MATCH(P$1,$A$1:$J$1,0)))/12+P111)</f>
        <v>1240.9999999999998</v>
      </c>
      <c r="Q112" s="46" cm="1">
        <f t="array" ref="Q112">IF($N112=12,INDEX($A$32:$J$44,MATCH($M112,$A$32:$A$44,0),MATCH(Q$1,$A$1:$J$1,0)),(INDEX($A$32:$J$44,MATCH($M112,$A$32:$A$44,0),MATCH(Q$1,$A$1:$J$1,0))-INDEX($A$32:$J$44,MATCH($M112,$A$32:$A$44,0)-1,MATCH(Q$1,$A$1:$J$1,0)))/12+Q111)</f>
        <v>96.500000000000014</v>
      </c>
      <c r="R112" s="46" cm="1">
        <f t="array" ref="R112">IF($N112=12,INDEX($A$32:$J$44,MATCH($M112,$A$32:$A$44,0),MATCH(R$1,$A$1:$J$1,0)),(INDEX($A$32:$J$44,MATCH($M112,$A$32:$A$44,0),MATCH(R$1,$A$1:$J$1,0))-INDEX($A$32:$J$44,MATCH($M112,$A$32:$A$44,0)-1,MATCH(R$1,$A$1:$J$1,0)))/12+R111)</f>
        <v>3024.4999999999995</v>
      </c>
      <c r="S112" s="46" cm="1">
        <f t="array" ref="S112">IF($N112=12,INDEX($A$32:$J$44,MATCH($M112,$A$32:$A$44,0),MATCH(S$1,$A$1:$J$1,0)),(INDEX($A$32:$J$44,MATCH($M112,$A$32:$A$44,0),MATCH(S$1,$A$1:$J$1,0))-INDEX($A$32:$J$44,MATCH($M112,$A$32:$A$44,0)-1,MATCH(S$1,$A$1:$J$1,0)))/12+S111)</f>
        <v>32</v>
      </c>
      <c r="T112" s="46" cm="1">
        <f t="array" ref="T112">IF($N112=12,INDEX($A$32:$J$44,MATCH($M112,$A$32:$A$44,0),MATCH(T$1,$A$1:$J$1,0)),(INDEX($A$32:$J$44,MATCH($M112,$A$32:$A$44,0),MATCH(T$1,$A$1:$J$1,0))-INDEX($A$32:$J$44,MATCH($M112,$A$32:$A$44,0)-1,MATCH(T$1,$A$1:$J$1,0)))/12+T111)</f>
        <v>17</v>
      </c>
      <c r="U112" s="46" cm="1">
        <f t="array" ref="U112">IF($N112=12,INDEX($A$32:$J$44,MATCH($M112,$A$32:$A$44,0),MATCH(U$1,$A$1:$J$1,0)),(INDEX($A$32:$J$44,MATCH($M112,$A$32:$A$44,0),MATCH(U$1,$A$1:$J$1,0))-INDEX($A$32:$J$44,MATCH($M112,$A$32:$A$44,0)-1,MATCH(U$1,$A$1:$J$1,0)))/12+U111)</f>
        <v>6</v>
      </c>
      <c r="V112" s="46" cm="1">
        <f t="array" ref="V112">IF($N112=12,INDEX($A$32:$J$44,MATCH($M112,$A$32:$A$44,0),MATCH(V$1,$A$1:$J$1,0)),(INDEX($A$32:$J$44,MATCH($M112,$A$32:$A$44,0),MATCH(V$1,$A$1:$J$1,0))-INDEX($A$32:$J$44,MATCH($M112,$A$32:$A$44,0)-1,MATCH(V$1,$A$1:$J$1,0)))/12+V111)</f>
        <v>15149.250000000002</v>
      </c>
      <c r="W112" s="46" cm="1">
        <f t="array" ref="W112">IF($N112=12,INDEX($A$32:$J$44,MATCH($M112,$A$32:$A$44,0),MATCH(W$1,$A$1:$J$1,0)),(INDEX($A$32:$J$44,MATCH($M112,$A$32:$A$44,0),MATCH(W$1,$A$1:$J$1,0))-INDEX($A$32:$J$44,MATCH($M112,$A$32:$A$44,0)-1,MATCH(W$1,$A$1:$J$1,0)))/12+W111)</f>
        <v>12220.749999999998</v>
      </c>
    </row>
    <row r="113" spans="12:24" x14ac:dyDescent="0.2">
      <c r="L113" s="211">
        <f>'Purchased Power Model'!A114</f>
        <v>43922</v>
      </c>
      <c r="M113" s="212">
        <f>'Purchased Power Model'!B114</f>
        <v>2020</v>
      </c>
      <c r="N113" s="212">
        <f>'Purchased Power Model'!C114</f>
        <v>4</v>
      </c>
      <c r="O113" s="46" cm="1">
        <f t="array" ref="O113">IF($N113=12,INDEX($A$32:$J$44,MATCH($M113,$A$32:$A$44,0),MATCH(O$1,$A$1:$J$1,0)),(INDEX($A$32:$J$44,MATCH($M113,$A$32:$A$44,0),MATCH(O$1,$A$1:$J$1,0))-INDEX($A$32:$J$44,MATCH($M113,$A$32:$A$44,0)-1,MATCH(O$1,$A$1:$J$1,0)))/12+O112)</f>
        <v>10746.666666666664</v>
      </c>
      <c r="P113" s="46" cm="1">
        <f t="array" ref="P113">IF($N113=12,INDEX($A$32:$J$44,MATCH($M113,$A$32:$A$44,0),MATCH(P$1,$A$1:$J$1,0)),(INDEX($A$32:$J$44,MATCH($M113,$A$32:$A$44,0),MATCH(P$1,$A$1:$J$1,0))-INDEX($A$32:$J$44,MATCH($M113,$A$32:$A$44,0)-1,MATCH(P$1,$A$1:$J$1,0)))/12+P112)</f>
        <v>1242.333333333333</v>
      </c>
      <c r="Q113" s="46" cm="1">
        <f t="array" ref="Q113">IF($N113=12,INDEX($A$32:$J$44,MATCH($M113,$A$32:$A$44,0),MATCH(Q$1,$A$1:$J$1,0)),(INDEX($A$32:$J$44,MATCH($M113,$A$32:$A$44,0),MATCH(Q$1,$A$1:$J$1,0))-INDEX($A$32:$J$44,MATCH($M113,$A$32:$A$44,0)-1,MATCH(Q$1,$A$1:$J$1,0)))/12+Q112)</f>
        <v>96.666666666666686</v>
      </c>
      <c r="R113" s="46" cm="1">
        <f t="array" ref="R113">IF($N113=12,INDEX($A$32:$J$44,MATCH($M113,$A$32:$A$44,0),MATCH(R$1,$A$1:$J$1,0)),(INDEX($A$32:$J$44,MATCH($M113,$A$32:$A$44,0),MATCH(R$1,$A$1:$J$1,0))-INDEX($A$32:$J$44,MATCH($M113,$A$32:$A$44,0)-1,MATCH(R$1,$A$1:$J$1,0)))/12+R112)</f>
        <v>3030.6666666666661</v>
      </c>
      <c r="S113" s="46" cm="1">
        <f t="array" ref="S113">IF($N113=12,INDEX($A$32:$J$44,MATCH($M113,$A$32:$A$44,0),MATCH(S$1,$A$1:$J$1,0)),(INDEX($A$32:$J$44,MATCH($M113,$A$32:$A$44,0),MATCH(S$1,$A$1:$J$1,0))-INDEX($A$32:$J$44,MATCH($M113,$A$32:$A$44,0)-1,MATCH(S$1,$A$1:$J$1,0)))/12+S112)</f>
        <v>32</v>
      </c>
      <c r="T113" s="46" cm="1">
        <f t="array" ref="T113">IF($N113=12,INDEX($A$32:$J$44,MATCH($M113,$A$32:$A$44,0),MATCH(T$1,$A$1:$J$1,0)),(INDEX($A$32:$J$44,MATCH($M113,$A$32:$A$44,0),MATCH(T$1,$A$1:$J$1,0))-INDEX($A$32:$J$44,MATCH($M113,$A$32:$A$44,0)-1,MATCH(T$1,$A$1:$J$1,0)))/12+T112)</f>
        <v>17</v>
      </c>
      <c r="U113" s="46" cm="1">
        <f t="array" ref="U113">IF($N113=12,INDEX($A$32:$J$44,MATCH($M113,$A$32:$A$44,0),MATCH(U$1,$A$1:$J$1,0)),(INDEX($A$32:$J$44,MATCH($M113,$A$32:$A$44,0),MATCH(U$1,$A$1:$J$1,0))-INDEX($A$32:$J$44,MATCH($M113,$A$32:$A$44,0)-1,MATCH(U$1,$A$1:$J$1,0)))/12+U112)</f>
        <v>6</v>
      </c>
      <c r="V113" s="46" cm="1">
        <f t="array" ref="V113">IF($N113=12,INDEX($A$32:$J$44,MATCH($M113,$A$32:$A$44,0),MATCH(V$1,$A$1:$J$1,0)),(INDEX($A$32:$J$44,MATCH($M113,$A$32:$A$44,0),MATCH(V$1,$A$1:$J$1,0))-INDEX($A$32:$J$44,MATCH($M113,$A$32:$A$44,0)-1,MATCH(V$1,$A$1:$J$1,0)))/12+V112)</f>
        <v>15171.333333333336</v>
      </c>
      <c r="W113" s="46" cm="1">
        <f t="array" ref="W113">IF($N113=12,INDEX($A$32:$J$44,MATCH($M113,$A$32:$A$44,0),MATCH(W$1,$A$1:$J$1,0)),(INDEX($A$32:$J$44,MATCH($M113,$A$32:$A$44,0),MATCH(W$1,$A$1:$J$1,0))-INDEX($A$32:$J$44,MATCH($M113,$A$32:$A$44,0)-1,MATCH(W$1,$A$1:$J$1,0)))/12+W112)</f>
        <v>12236.666666666664</v>
      </c>
    </row>
    <row r="114" spans="12:24" x14ac:dyDescent="0.2">
      <c r="L114" s="211">
        <f>'Purchased Power Model'!A115</f>
        <v>43952</v>
      </c>
      <c r="M114" s="212">
        <f>'Purchased Power Model'!B115</f>
        <v>2020</v>
      </c>
      <c r="N114" s="212">
        <f>'Purchased Power Model'!C115</f>
        <v>5</v>
      </c>
      <c r="O114" s="46" cm="1">
        <f t="array" ref="O114">IF($N114=12,INDEX($A$32:$J$44,MATCH($M114,$A$32:$A$44,0),MATCH(O$1,$A$1:$J$1,0)),(INDEX($A$32:$J$44,MATCH($M114,$A$32:$A$44,0),MATCH(O$1,$A$1:$J$1,0))-INDEX($A$32:$J$44,MATCH($M114,$A$32:$A$44,0)-1,MATCH(O$1,$A$1:$J$1,0)))/12+O113)</f>
        <v>10761.08333333333</v>
      </c>
      <c r="P114" s="46" cm="1">
        <f t="array" ref="P114">IF($N114=12,INDEX($A$32:$J$44,MATCH($M114,$A$32:$A$44,0),MATCH(P$1,$A$1:$J$1,0)),(INDEX($A$32:$J$44,MATCH($M114,$A$32:$A$44,0),MATCH(P$1,$A$1:$J$1,0))-INDEX($A$32:$J$44,MATCH($M114,$A$32:$A$44,0)-1,MATCH(P$1,$A$1:$J$1,0)))/12+P113)</f>
        <v>1243.6666666666663</v>
      </c>
      <c r="Q114" s="46" cm="1">
        <f t="array" ref="Q114">IF($N114=12,INDEX($A$32:$J$44,MATCH($M114,$A$32:$A$44,0),MATCH(Q$1,$A$1:$J$1,0)),(INDEX($A$32:$J$44,MATCH($M114,$A$32:$A$44,0),MATCH(Q$1,$A$1:$J$1,0))-INDEX($A$32:$J$44,MATCH($M114,$A$32:$A$44,0)-1,MATCH(Q$1,$A$1:$J$1,0)))/12+Q113)</f>
        <v>96.833333333333357</v>
      </c>
      <c r="R114" s="46" cm="1">
        <f t="array" ref="R114">IF($N114=12,INDEX($A$32:$J$44,MATCH($M114,$A$32:$A$44,0),MATCH(R$1,$A$1:$J$1,0)),(INDEX($A$32:$J$44,MATCH($M114,$A$32:$A$44,0),MATCH(R$1,$A$1:$J$1,0))-INDEX($A$32:$J$44,MATCH($M114,$A$32:$A$44,0)-1,MATCH(R$1,$A$1:$J$1,0)))/12+R113)</f>
        <v>3036.8333333333326</v>
      </c>
      <c r="S114" s="46" cm="1">
        <f t="array" ref="S114">IF($N114=12,INDEX($A$32:$J$44,MATCH($M114,$A$32:$A$44,0),MATCH(S$1,$A$1:$J$1,0)),(INDEX($A$32:$J$44,MATCH($M114,$A$32:$A$44,0),MATCH(S$1,$A$1:$J$1,0))-INDEX($A$32:$J$44,MATCH($M114,$A$32:$A$44,0)-1,MATCH(S$1,$A$1:$J$1,0)))/12+S113)</f>
        <v>32</v>
      </c>
      <c r="T114" s="46" cm="1">
        <f t="array" ref="T114">IF($N114=12,INDEX($A$32:$J$44,MATCH($M114,$A$32:$A$44,0),MATCH(T$1,$A$1:$J$1,0)),(INDEX($A$32:$J$44,MATCH($M114,$A$32:$A$44,0),MATCH(T$1,$A$1:$J$1,0))-INDEX($A$32:$J$44,MATCH($M114,$A$32:$A$44,0)-1,MATCH(T$1,$A$1:$J$1,0)))/12+T113)</f>
        <v>17</v>
      </c>
      <c r="U114" s="46" cm="1">
        <f t="array" ref="U114">IF($N114=12,INDEX($A$32:$J$44,MATCH($M114,$A$32:$A$44,0),MATCH(U$1,$A$1:$J$1,0)),(INDEX($A$32:$J$44,MATCH($M114,$A$32:$A$44,0),MATCH(U$1,$A$1:$J$1,0))-INDEX($A$32:$J$44,MATCH($M114,$A$32:$A$44,0)-1,MATCH(U$1,$A$1:$J$1,0)))/12+U113)</f>
        <v>6</v>
      </c>
      <c r="V114" s="46" cm="1">
        <f t="array" ref="V114">IF($N114=12,INDEX($A$32:$J$44,MATCH($M114,$A$32:$A$44,0),MATCH(V$1,$A$1:$J$1,0)),(INDEX($A$32:$J$44,MATCH($M114,$A$32:$A$44,0),MATCH(V$1,$A$1:$J$1,0))-INDEX($A$32:$J$44,MATCH($M114,$A$32:$A$44,0)-1,MATCH(V$1,$A$1:$J$1,0)))/12+V113)</f>
        <v>15193.41666666667</v>
      </c>
      <c r="W114" s="46" cm="1">
        <f t="array" ref="W114">IF($N114=12,INDEX($A$32:$J$44,MATCH($M114,$A$32:$A$44,0),MATCH(W$1,$A$1:$J$1,0)),(INDEX($A$32:$J$44,MATCH($M114,$A$32:$A$44,0),MATCH(W$1,$A$1:$J$1,0))-INDEX($A$32:$J$44,MATCH($M114,$A$32:$A$44,0)-1,MATCH(W$1,$A$1:$J$1,0)))/12+W113)</f>
        <v>12252.58333333333</v>
      </c>
    </row>
    <row r="115" spans="12:24" x14ac:dyDescent="0.2">
      <c r="L115" s="211">
        <f>'Purchased Power Model'!A116</f>
        <v>43983</v>
      </c>
      <c r="M115" s="212">
        <f>'Purchased Power Model'!B116</f>
        <v>2020</v>
      </c>
      <c r="N115" s="212">
        <f>'Purchased Power Model'!C116</f>
        <v>6</v>
      </c>
      <c r="O115" s="46" cm="1">
        <f t="array" ref="O115">IF($N115=12,INDEX($A$32:$J$44,MATCH($M115,$A$32:$A$44,0),MATCH(O$1,$A$1:$J$1,0)),(INDEX($A$32:$J$44,MATCH($M115,$A$32:$A$44,0),MATCH(O$1,$A$1:$J$1,0))-INDEX($A$32:$J$44,MATCH($M115,$A$32:$A$44,0)-1,MATCH(O$1,$A$1:$J$1,0)))/12+O114)</f>
        <v>10775.499999999996</v>
      </c>
      <c r="P115" s="46" cm="1">
        <f t="array" ref="P115">IF($N115=12,INDEX($A$32:$J$44,MATCH($M115,$A$32:$A$44,0),MATCH(P$1,$A$1:$J$1,0)),(INDEX($A$32:$J$44,MATCH($M115,$A$32:$A$44,0),MATCH(P$1,$A$1:$J$1,0))-INDEX($A$32:$J$44,MATCH($M115,$A$32:$A$44,0)-1,MATCH(P$1,$A$1:$J$1,0)))/12+P114)</f>
        <v>1244.9999999999995</v>
      </c>
      <c r="Q115" s="46" cm="1">
        <f t="array" ref="Q115">IF($N115=12,INDEX($A$32:$J$44,MATCH($M115,$A$32:$A$44,0),MATCH(Q$1,$A$1:$J$1,0)),(INDEX($A$32:$J$44,MATCH($M115,$A$32:$A$44,0),MATCH(Q$1,$A$1:$J$1,0))-INDEX($A$32:$J$44,MATCH($M115,$A$32:$A$44,0)-1,MATCH(Q$1,$A$1:$J$1,0)))/12+Q114)</f>
        <v>97.000000000000028</v>
      </c>
      <c r="R115" s="46" cm="1">
        <f t="array" ref="R115">IF($N115=12,INDEX($A$32:$J$44,MATCH($M115,$A$32:$A$44,0),MATCH(R$1,$A$1:$J$1,0)),(INDEX($A$32:$J$44,MATCH($M115,$A$32:$A$44,0),MATCH(R$1,$A$1:$J$1,0))-INDEX($A$32:$J$44,MATCH($M115,$A$32:$A$44,0)-1,MATCH(R$1,$A$1:$J$1,0)))/12+R114)</f>
        <v>3042.9999999999991</v>
      </c>
      <c r="S115" s="46" cm="1">
        <f t="array" ref="S115">IF($N115=12,INDEX($A$32:$J$44,MATCH($M115,$A$32:$A$44,0),MATCH(S$1,$A$1:$J$1,0)),(INDEX($A$32:$J$44,MATCH($M115,$A$32:$A$44,0),MATCH(S$1,$A$1:$J$1,0))-INDEX($A$32:$J$44,MATCH($M115,$A$32:$A$44,0)-1,MATCH(S$1,$A$1:$J$1,0)))/12+S114)</f>
        <v>32</v>
      </c>
      <c r="T115" s="46" cm="1">
        <f t="array" ref="T115">IF($N115=12,INDEX($A$32:$J$44,MATCH($M115,$A$32:$A$44,0),MATCH(T$1,$A$1:$J$1,0)),(INDEX($A$32:$J$44,MATCH($M115,$A$32:$A$44,0),MATCH(T$1,$A$1:$J$1,0))-INDEX($A$32:$J$44,MATCH($M115,$A$32:$A$44,0)-1,MATCH(T$1,$A$1:$J$1,0)))/12+T114)</f>
        <v>17</v>
      </c>
      <c r="U115" s="46" cm="1">
        <f t="array" ref="U115">IF($N115=12,INDEX($A$32:$J$44,MATCH($M115,$A$32:$A$44,0),MATCH(U$1,$A$1:$J$1,0)),(INDEX($A$32:$J$44,MATCH($M115,$A$32:$A$44,0),MATCH(U$1,$A$1:$J$1,0))-INDEX($A$32:$J$44,MATCH($M115,$A$32:$A$44,0)-1,MATCH(U$1,$A$1:$J$1,0)))/12+U114)</f>
        <v>6</v>
      </c>
      <c r="V115" s="46" cm="1">
        <f t="array" ref="V115">IF($N115=12,INDEX($A$32:$J$44,MATCH($M115,$A$32:$A$44,0),MATCH(V$1,$A$1:$J$1,0)),(INDEX($A$32:$J$44,MATCH($M115,$A$32:$A$44,0),MATCH(V$1,$A$1:$J$1,0))-INDEX($A$32:$J$44,MATCH($M115,$A$32:$A$44,0)-1,MATCH(V$1,$A$1:$J$1,0)))/12+V114)</f>
        <v>15215.500000000004</v>
      </c>
      <c r="W115" s="46" cm="1">
        <f t="array" ref="W115">IF($N115=12,INDEX($A$32:$J$44,MATCH($M115,$A$32:$A$44,0),MATCH(W$1,$A$1:$J$1,0)),(INDEX($A$32:$J$44,MATCH($M115,$A$32:$A$44,0),MATCH(W$1,$A$1:$J$1,0))-INDEX($A$32:$J$44,MATCH($M115,$A$32:$A$44,0)-1,MATCH(W$1,$A$1:$J$1,0)))/12+W114)</f>
        <v>12268.499999999996</v>
      </c>
    </row>
    <row r="116" spans="12:24" x14ac:dyDescent="0.2">
      <c r="L116" s="211">
        <f>'Purchased Power Model'!A117</f>
        <v>44013</v>
      </c>
      <c r="M116" s="212">
        <f>'Purchased Power Model'!B117</f>
        <v>2020</v>
      </c>
      <c r="N116" s="212">
        <f>'Purchased Power Model'!C117</f>
        <v>7</v>
      </c>
      <c r="O116" s="46" cm="1">
        <f t="array" ref="O116">IF($N116=12,INDEX($A$32:$J$44,MATCH($M116,$A$32:$A$44,0),MATCH(O$1,$A$1:$J$1,0)),(INDEX($A$32:$J$44,MATCH($M116,$A$32:$A$44,0),MATCH(O$1,$A$1:$J$1,0))-INDEX($A$32:$J$44,MATCH($M116,$A$32:$A$44,0)-1,MATCH(O$1,$A$1:$J$1,0)))/12+O115)</f>
        <v>10789.916666666662</v>
      </c>
      <c r="P116" s="46" cm="1">
        <f t="array" ref="P116">IF($N116=12,INDEX($A$32:$J$44,MATCH($M116,$A$32:$A$44,0),MATCH(P$1,$A$1:$J$1,0)),(INDEX($A$32:$J$44,MATCH($M116,$A$32:$A$44,0),MATCH(P$1,$A$1:$J$1,0))-INDEX($A$32:$J$44,MATCH($M116,$A$32:$A$44,0)-1,MATCH(P$1,$A$1:$J$1,0)))/12+P115)</f>
        <v>1246.3333333333328</v>
      </c>
      <c r="Q116" s="46" cm="1">
        <f t="array" ref="Q116">IF($N116=12,INDEX($A$32:$J$44,MATCH($M116,$A$32:$A$44,0),MATCH(Q$1,$A$1:$J$1,0)),(INDEX($A$32:$J$44,MATCH($M116,$A$32:$A$44,0),MATCH(Q$1,$A$1:$J$1,0))-INDEX($A$32:$J$44,MATCH($M116,$A$32:$A$44,0)-1,MATCH(Q$1,$A$1:$J$1,0)))/12+Q115)</f>
        <v>97.1666666666667</v>
      </c>
      <c r="R116" s="46" cm="1">
        <f t="array" ref="R116">IF($N116=12,INDEX($A$32:$J$44,MATCH($M116,$A$32:$A$44,0),MATCH(R$1,$A$1:$J$1,0)),(INDEX($A$32:$J$44,MATCH($M116,$A$32:$A$44,0),MATCH(R$1,$A$1:$J$1,0))-INDEX($A$32:$J$44,MATCH($M116,$A$32:$A$44,0)-1,MATCH(R$1,$A$1:$J$1,0)))/12+R115)</f>
        <v>3049.1666666666656</v>
      </c>
      <c r="S116" s="46" cm="1">
        <f t="array" ref="S116">IF($N116=12,INDEX($A$32:$J$44,MATCH($M116,$A$32:$A$44,0),MATCH(S$1,$A$1:$J$1,0)),(INDEX($A$32:$J$44,MATCH($M116,$A$32:$A$44,0),MATCH(S$1,$A$1:$J$1,0))-INDEX($A$32:$J$44,MATCH($M116,$A$32:$A$44,0)-1,MATCH(S$1,$A$1:$J$1,0)))/12+S115)</f>
        <v>32</v>
      </c>
      <c r="T116" s="46" cm="1">
        <f t="array" ref="T116">IF($N116=12,INDEX($A$32:$J$44,MATCH($M116,$A$32:$A$44,0),MATCH(T$1,$A$1:$J$1,0)),(INDEX($A$32:$J$44,MATCH($M116,$A$32:$A$44,0),MATCH(T$1,$A$1:$J$1,0))-INDEX($A$32:$J$44,MATCH($M116,$A$32:$A$44,0)-1,MATCH(T$1,$A$1:$J$1,0)))/12+T115)</f>
        <v>17</v>
      </c>
      <c r="U116" s="46" cm="1">
        <f t="array" ref="U116">IF($N116=12,INDEX($A$32:$J$44,MATCH($M116,$A$32:$A$44,0),MATCH(U$1,$A$1:$J$1,0)),(INDEX($A$32:$J$44,MATCH($M116,$A$32:$A$44,0),MATCH(U$1,$A$1:$J$1,0))-INDEX($A$32:$J$44,MATCH($M116,$A$32:$A$44,0)-1,MATCH(U$1,$A$1:$J$1,0)))/12+U115)</f>
        <v>6</v>
      </c>
      <c r="V116" s="46" cm="1">
        <f t="array" ref="V116">IF($N116=12,INDEX($A$32:$J$44,MATCH($M116,$A$32:$A$44,0),MATCH(V$1,$A$1:$J$1,0)),(INDEX($A$32:$J$44,MATCH($M116,$A$32:$A$44,0),MATCH(V$1,$A$1:$J$1,0))-INDEX($A$32:$J$44,MATCH($M116,$A$32:$A$44,0)-1,MATCH(V$1,$A$1:$J$1,0)))/12+V115)</f>
        <v>15237.583333333338</v>
      </c>
      <c r="W116" s="46" cm="1">
        <f t="array" ref="W116">IF($N116=12,INDEX($A$32:$J$44,MATCH($M116,$A$32:$A$44,0),MATCH(W$1,$A$1:$J$1,0)),(INDEX($A$32:$J$44,MATCH($M116,$A$32:$A$44,0),MATCH(W$1,$A$1:$J$1,0))-INDEX($A$32:$J$44,MATCH($M116,$A$32:$A$44,0)-1,MATCH(W$1,$A$1:$J$1,0)))/12+W115)</f>
        <v>12284.416666666662</v>
      </c>
    </row>
    <row r="117" spans="12:24" x14ac:dyDescent="0.2">
      <c r="L117" s="211">
        <f>'Purchased Power Model'!A118</f>
        <v>44044</v>
      </c>
      <c r="M117" s="212">
        <f>'Purchased Power Model'!B118</f>
        <v>2020</v>
      </c>
      <c r="N117" s="212">
        <f>'Purchased Power Model'!C118</f>
        <v>8</v>
      </c>
      <c r="O117" s="46" cm="1">
        <f t="array" ref="O117">IF($N117=12,INDEX($A$32:$J$44,MATCH($M117,$A$32:$A$44,0),MATCH(O$1,$A$1:$J$1,0)),(INDEX($A$32:$J$44,MATCH($M117,$A$32:$A$44,0),MATCH(O$1,$A$1:$J$1,0))-INDEX($A$32:$J$44,MATCH($M117,$A$32:$A$44,0)-1,MATCH(O$1,$A$1:$J$1,0)))/12+O116)</f>
        <v>10804.333333333328</v>
      </c>
      <c r="P117" s="46" cm="1">
        <f t="array" ref="P117">IF($N117=12,INDEX($A$32:$J$44,MATCH($M117,$A$32:$A$44,0),MATCH(P$1,$A$1:$J$1,0)),(INDEX($A$32:$J$44,MATCH($M117,$A$32:$A$44,0),MATCH(P$1,$A$1:$J$1,0))-INDEX($A$32:$J$44,MATCH($M117,$A$32:$A$44,0)-1,MATCH(P$1,$A$1:$J$1,0)))/12+P116)</f>
        <v>1247.6666666666661</v>
      </c>
      <c r="Q117" s="46" cm="1">
        <f t="array" ref="Q117">IF($N117=12,INDEX($A$32:$J$44,MATCH($M117,$A$32:$A$44,0),MATCH(Q$1,$A$1:$J$1,0)),(INDEX($A$32:$J$44,MATCH($M117,$A$32:$A$44,0),MATCH(Q$1,$A$1:$J$1,0))-INDEX($A$32:$J$44,MATCH($M117,$A$32:$A$44,0)-1,MATCH(Q$1,$A$1:$J$1,0)))/12+Q116)</f>
        <v>97.333333333333371</v>
      </c>
      <c r="R117" s="46" cm="1">
        <f t="array" ref="R117">IF($N117=12,INDEX($A$32:$J$44,MATCH($M117,$A$32:$A$44,0),MATCH(R$1,$A$1:$J$1,0)),(INDEX($A$32:$J$44,MATCH($M117,$A$32:$A$44,0),MATCH(R$1,$A$1:$J$1,0))-INDEX($A$32:$J$44,MATCH($M117,$A$32:$A$44,0)-1,MATCH(R$1,$A$1:$J$1,0)))/12+R116)</f>
        <v>3055.3333333333321</v>
      </c>
      <c r="S117" s="46" cm="1">
        <f t="array" ref="S117">IF($N117=12,INDEX($A$32:$J$44,MATCH($M117,$A$32:$A$44,0),MATCH(S$1,$A$1:$J$1,0)),(INDEX($A$32:$J$44,MATCH($M117,$A$32:$A$44,0),MATCH(S$1,$A$1:$J$1,0))-INDEX($A$32:$J$44,MATCH($M117,$A$32:$A$44,0)-1,MATCH(S$1,$A$1:$J$1,0)))/12+S116)</f>
        <v>32</v>
      </c>
      <c r="T117" s="46" cm="1">
        <f t="array" ref="T117">IF($N117=12,INDEX($A$32:$J$44,MATCH($M117,$A$32:$A$44,0),MATCH(T$1,$A$1:$J$1,0)),(INDEX($A$32:$J$44,MATCH($M117,$A$32:$A$44,0),MATCH(T$1,$A$1:$J$1,0))-INDEX($A$32:$J$44,MATCH($M117,$A$32:$A$44,0)-1,MATCH(T$1,$A$1:$J$1,0)))/12+T116)</f>
        <v>17</v>
      </c>
      <c r="U117" s="46" cm="1">
        <f t="array" ref="U117">IF($N117=12,INDEX($A$32:$J$44,MATCH($M117,$A$32:$A$44,0),MATCH(U$1,$A$1:$J$1,0)),(INDEX($A$32:$J$44,MATCH($M117,$A$32:$A$44,0),MATCH(U$1,$A$1:$J$1,0))-INDEX($A$32:$J$44,MATCH($M117,$A$32:$A$44,0)-1,MATCH(U$1,$A$1:$J$1,0)))/12+U116)</f>
        <v>6</v>
      </c>
      <c r="V117" s="46" cm="1">
        <f t="array" ref="V117">IF($N117=12,INDEX($A$32:$J$44,MATCH($M117,$A$32:$A$44,0),MATCH(V$1,$A$1:$J$1,0)),(INDEX($A$32:$J$44,MATCH($M117,$A$32:$A$44,0),MATCH(V$1,$A$1:$J$1,0))-INDEX($A$32:$J$44,MATCH($M117,$A$32:$A$44,0)-1,MATCH(V$1,$A$1:$J$1,0)))/12+V116)</f>
        <v>15259.666666666672</v>
      </c>
      <c r="W117" s="46" cm="1">
        <f t="array" ref="W117">IF($N117=12,INDEX($A$32:$J$44,MATCH($M117,$A$32:$A$44,0),MATCH(W$1,$A$1:$J$1,0)),(INDEX($A$32:$J$44,MATCH($M117,$A$32:$A$44,0),MATCH(W$1,$A$1:$J$1,0))-INDEX($A$32:$J$44,MATCH($M117,$A$32:$A$44,0)-1,MATCH(W$1,$A$1:$J$1,0)))/12+W116)</f>
        <v>12300.333333333328</v>
      </c>
    </row>
    <row r="118" spans="12:24" x14ac:dyDescent="0.2">
      <c r="L118" s="211">
        <f>'Purchased Power Model'!A119</f>
        <v>44075</v>
      </c>
      <c r="M118" s="212">
        <f>'Purchased Power Model'!B119</f>
        <v>2020</v>
      </c>
      <c r="N118" s="212">
        <f>'Purchased Power Model'!C119</f>
        <v>9</v>
      </c>
      <c r="O118" s="46" cm="1">
        <f t="array" ref="O118">IF($N118=12,INDEX($A$32:$J$44,MATCH($M118,$A$32:$A$44,0),MATCH(O$1,$A$1:$J$1,0)),(INDEX($A$32:$J$44,MATCH($M118,$A$32:$A$44,0),MATCH(O$1,$A$1:$J$1,0))-INDEX($A$32:$J$44,MATCH($M118,$A$32:$A$44,0)-1,MATCH(O$1,$A$1:$J$1,0)))/12+O117)</f>
        <v>10818.749999999995</v>
      </c>
      <c r="P118" s="46" cm="1">
        <f t="array" ref="P118">IF($N118=12,INDEX($A$32:$J$44,MATCH($M118,$A$32:$A$44,0),MATCH(P$1,$A$1:$J$1,0)),(INDEX($A$32:$J$44,MATCH($M118,$A$32:$A$44,0),MATCH(P$1,$A$1:$J$1,0))-INDEX($A$32:$J$44,MATCH($M118,$A$32:$A$44,0)-1,MATCH(P$1,$A$1:$J$1,0)))/12+P117)</f>
        <v>1248.9999999999993</v>
      </c>
      <c r="Q118" s="46" cm="1">
        <f t="array" ref="Q118">IF($N118=12,INDEX($A$32:$J$44,MATCH($M118,$A$32:$A$44,0),MATCH(Q$1,$A$1:$J$1,0)),(INDEX($A$32:$J$44,MATCH($M118,$A$32:$A$44,0),MATCH(Q$1,$A$1:$J$1,0))-INDEX($A$32:$J$44,MATCH($M118,$A$32:$A$44,0)-1,MATCH(Q$1,$A$1:$J$1,0)))/12+Q117)</f>
        <v>97.500000000000043</v>
      </c>
      <c r="R118" s="46" cm="1">
        <f t="array" ref="R118">IF($N118=12,INDEX($A$32:$J$44,MATCH($M118,$A$32:$A$44,0),MATCH(R$1,$A$1:$J$1,0)),(INDEX($A$32:$J$44,MATCH($M118,$A$32:$A$44,0),MATCH(R$1,$A$1:$J$1,0))-INDEX($A$32:$J$44,MATCH($M118,$A$32:$A$44,0)-1,MATCH(R$1,$A$1:$J$1,0)))/12+R117)</f>
        <v>3061.4999999999986</v>
      </c>
      <c r="S118" s="46" cm="1">
        <f t="array" ref="S118">IF($N118=12,INDEX($A$32:$J$44,MATCH($M118,$A$32:$A$44,0),MATCH(S$1,$A$1:$J$1,0)),(INDEX($A$32:$J$44,MATCH($M118,$A$32:$A$44,0),MATCH(S$1,$A$1:$J$1,0))-INDEX($A$32:$J$44,MATCH($M118,$A$32:$A$44,0)-1,MATCH(S$1,$A$1:$J$1,0)))/12+S117)</f>
        <v>32</v>
      </c>
      <c r="T118" s="46" cm="1">
        <f t="array" ref="T118">IF($N118=12,INDEX($A$32:$J$44,MATCH($M118,$A$32:$A$44,0),MATCH(T$1,$A$1:$J$1,0)),(INDEX($A$32:$J$44,MATCH($M118,$A$32:$A$44,0),MATCH(T$1,$A$1:$J$1,0))-INDEX($A$32:$J$44,MATCH($M118,$A$32:$A$44,0)-1,MATCH(T$1,$A$1:$J$1,0)))/12+T117)</f>
        <v>17</v>
      </c>
      <c r="U118" s="46" cm="1">
        <f t="array" ref="U118">IF($N118=12,INDEX($A$32:$J$44,MATCH($M118,$A$32:$A$44,0),MATCH(U$1,$A$1:$J$1,0)),(INDEX($A$32:$J$44,MATCH($M118,$A$32:$A$44,0),MATCH(U$1,$A$1:$J$1,0))-INDEX($A$32:$J$44,MATCH($M118,$A$32:$A$44,0)-1,MATCH(U$1,$A$1:$J$1,0)))/12+U117)</f>
        <v>6</v>
      </c>
      <c r="V118" s="46" cm="1">
        <f t="array" ref="V118">IF($N118=12,INDEX($A$32:$J$44,MATCH($M118,$A$32:$A$44,0),MATCH(V$1,$A$1:$J$1,0)),(INDEX($A$32:$J$44,MATCH($M118,$A$32:$A$44,0),MATCH(V$1,$A$1:$J$1,0))-INDEX($A$32:$J$44,MATCH($M118,$A$32:$A$44,0)-1,MATCH(V$1,$A$1:$J$1,0)))/12+V117)</f>
        <v>15281.750000000005</v>
      </c>
      <c r="W118" s="46" cm="1">
        <f t="array" ref="W118">IF($N118=12,INDEX($A$32:$J$44,MATCH($M118,$A$32:$A$44,0),MATCH(W$1,$A$1:$J$1,0)),(INDEX($A$32:$J$44,MATCH($M118,$A$32:$A$44,0),MATCH(W$1,$A$1:$J$1,0))-INDEX($A$32:$J$44,MATCH($M118,$A$32:$A$44,0)-1,MATCH(W$1,$A$1:$J$1,0)))/12+W117)</f>
        <v>12316.249999999995</v>
      </c>
    </row>
    <row r="119" spans="12:24" x14ac:dyDescent="0.2">
      <c r="L119" s="211">
        <f>'Purchased Power Model'!A120</f>
        <v>44105</v>
      </c>
      <c r="M119" s="212">
        <f>'Purchased Power Model'!B120</f>
        <v>2020</v>
      </c>
      <c r="N119" s="212">
        <f>'Purchased Power Model'!C120</f>
        <v>10</v>
      </c>
      <c r="O119" s="46" cm="1">
        <f t="array" ref="O119">IF($N119=12,INDEX($A$32:$J$44,MATCH($M119,$A$32:$A$44,0),MATCH(O$1,$A$1:$J$1,0)),(INDEX($A$32:$J$44,MATCH($M119,$A$32:$A$44,0),MATCH(O$1,$A$1:$J$1,0))-INDEX($A$32:$J$44,MATCH($M119,$A$32:$A$44,0)-1,MATCH(O$1,$A$1:$J$1,0)))/12+O118)</f>
        <v>10833.166666666661</v>
      </c>
      <c r="P119" s="46" cm="1">
        <f t="array" ref="P119">IF($N119=12,INDEX($A$32:$J$44,MATCH($M119,$A$32:$A$44,0),MATCH(P$1,$A$1:$J$1,0)),(INDEX($A$32:$J$44,MATCH($M119,$A$32:$A$44,0),MATCH(P$1,$A$1:$J$1,0))-INDEX($A$32:$J$44,MATCH($M119,$A$32:$A$44,0)-1,MATCH(P$1,$A$1:$J$1,0)))/12+P118)</f>
        <v>1250.3333333333326</v>
      </c>
      <c r="Q119" s="46" cm="1">
        <f t="array" ref="Q119">IF($N119=12,INDEX($A$32:$J$44,MATCH($M119,$A$32:$A$44,0),MATCH(Q$1,$A$1:$J$1,0)),(INDEX($A$32:$J$44,MATCH($M119,$A$32:$A$44,0),MATCH(Q$1,$A$1:$J$1,0))-INDEX($A$32:$J$44,MATCH($M119,$A$32:$A$44,0)-1,MATCH(Q$1,$A$1:$J$1,0)))/12+Q118)</f>
        <v>97.666666666666714</v>
      </c>
      <c r="R119" s="46" cm="1">
        <f t="array" ref="R119">IF($N119=12,INDEX($A$32:$J$44,MATCH($M119,$A$32:$A$44,0),MATCH(R$1,$A$1:$J$1,0)),(INDEX($A$32:$J$44,MATCH($M119,$A$32:$A$44,0),MATCH(R$1,$A$1:$J$1,0))-INDEX($A$32:$J$44,MATCH($M119,$A$32:$A$44,0)-1,MATCH(R$1,$A$1:$J$1,0)))/12+R118)</f>
        <v>3067.6666666666652</v>
      </c>
      <c r="S119" s="46" cm="1">
        <f t="array" ref="S119">IF($N119=12,INDEX($A$32:$J$44,MATCH($M119,$A$32:$A$44,0),MATCH(S$1,$A$1:$J$1,0)),(INDEX($A$32:$J$44,MATCH($M119,$A$32:$A$44,0),MATCH(S$1,$A$1:$J$1,0))-INDEX($A$32:$J$44,MATCH($M119,$A$32:$A$44,0)-1,MATCH(S$1,$A$1:$J$1,0)))/12+S118)</f>
        <v>32</v>
      </c>
      <c r="T119" s="46" cm="1">
        <f t="array" ref="T119">IF($N119=12,INDEX($A$32:$J$44,MATCH($M119,$A$32:$A$44,0),MATCH(T$1,$A$1:$J$1,0)),(INDEX($A$32:$J$44,MATCH($M119,$A$32:$A$44,0),MATCH(T$1,$A$1:$J$1,0))-INDEX($A$32:$J$44,MATCH($M119,$A$32:$A$44,0)-1,MATCH(T$1,$A$1:$J$1,0)))/12+T118)</f>
        <v>17</v>
      </c>
      <c r="U119" s="46" cm="1">
        <f t="array" ref="U119">IF($N119=12,INDEX($A$32:$J$44,MATCH($M119,$A$32:$A$44,0),MATCH(U$1,$A$1:$J$1,0)),(INDEX($A$32:$J$44,MATCH($M119,$A$32:$A$44,0),MATCH(U$1,$A$1:$J$1,0))-INDEX($A$32:$J$44,MATCH($M119,$A$32:$A$44,0)-1,MATCH(U$1,$A$1:$J$1,0)))/12+U118)</f>
        <v>6</v>
      </c>
      <c r="V119" s="46" cm="1">
        <f t="array" ref="V119">IF($N119=12,INDEX($A$32:$J$44,MATCH($M119,$A$32:$A$44,0),MATCH(V$1,$A$1:$J$1,0)),(INDEX($A$32:$J$44,MATCH($M119,$A$32:$A$44,0),MATCH(V$1,$A$1:$J$1,0))-INDEX($A$32:$J$44,MATCH($M119,$A$32:$A$44,0)-1,MATCH(V$1,$A$1:$J$1,0)))/12+V118)</f>
        <v>15303.833333333339</v>
      </c>
      <c r="W119" s="46" cm="1">
        <f t="array" ref="W119">IF($N119=12,INDEX($A$32:$J$44,MATCH($M119,$A$32:$A$44,0),MATCH(W$1,$A$1:$J$1,0)),(INDEX($A$32:$J$44,MATCH($M119,$A$32:$A$44,0),MATCH(W$1,$A$1:$J$1,0))-INDEX($A$32:$J$44,MATCH($M119,$A$32:$A$44,0)-1,MATCH(W$1,$A$1:$J$1,0)))/12+W118)</f>
        <v>12332.166666666661</v>
      </c>
    </row>
    <row r="120" spans="12:24" x14ac:dyDescent="0.2">
      <c r="L120" s="211">
        <f>'Purchased Power Model'!A121</f>
        <v>44136</v>
      </c>
      <c r="M120" s="212">
        <f>'Purchased Power Model'!B121</f>
        <v>2020</v>
      </c>
      <c r="N120" s="212">
        <f>'Purchased Power Model'!C121</f>
        <v>11</v>
      </c>
      <c r="O120" s="46" cm="1">
        <f t="array" ref="O120">IF($N120=12,INDEX($A$32:$J$44,MATCH($M120,$A$32:$A$44,0),MATCH(O$1,$A$1:$J$1,0)),(INDEX($A$32:$J$44,MATCH($M120,$A$32:$A$44,0),MATCH(O$1,$A$1:$J$1,0))-INDEX($A$32:$J$44,MATCH($M120,$A$32:$A$44,0)-1,MATCH(O$1,$A$1:$J$1,0)))/12+O119)</f>
        <v>10847.583333333327</v>
      </c>
      <c r="P120" s="46" cm="1">
        <f t="array" ref="P120">IF($N120=12,INDEX($A$32:$J$44,MATCH($M120,$A$32:$A$44,0),MATCH(P$1,$A$1:$J$1,0)),(INDEX($A$32:$J$44,MATCH($M120,$A$32:$A$44,0),MATCH(P$1,$A$1:$J$1,0))-INDEX($A$32:$J$44,MATCH($M120,$A$32:$A$44,0)-1,MATCH(P$1,$A$1:$J$1,0)))/12+P119)</f>
        <v>1251.6666666666658</v>
      </c>
      <c r="Q120" s="46" cm="1">
        <f t="array" ref="Q120">IF($N120=12,INDEX($A$32:$J$44,MATCH($M120,$A$32:$A$44,0),MATCH(Q$1,$A$1:$J$1,0)),(INDEX($A$32:$J$44,MATCH($M120,$A$32:$A$44,0),MATCH(Q$1,$A$1:$J$1,0))-INDEX($A$32:$J$44,MATCH($M120,$A$32:$A$44,0)-1,MATCH(Q$1,$A$1:$J$1,0)))/12+Q119)</f>
        <v>97.833333333333385</v>
      </c>
      <c r="R120" s="46" cm="1">
        <f t="array" ref="R120">IF($N120=12,INDEX($A$32:$J$44,MATCH($M120,$A$32:$A$44,0),MATCH(R$1,$A$1:$J$1,0)),(INDEX($A$32:$J$44,MATCH($M120,$A$32:$A$44,0),MATCH(R$1,$A$1:$J$1,0))-INDEX($A$32:$J$44,MATCH($M120,$A$32:$A$44,0)-1,MATCH(R$1,$A$1:$J$1,0)))/12+R119)</f>
        <v>3073.8333333333317</v>
      </c>
      <c r="S120" s="46" cm="1">
        <f t="array" ref="S120">IF($N120=12,INDEX($A$32:$J$44,MATCH($M120,$A$32:$A$44,0),MATCH(S$1,$A$1:$J$1,0)),(INDEX($A$32:$J$44,MATCH($M120,$A$32:$A$44,0),MATCH(S$1,$A$1:$J$1,0))-INDEX($A$32:$J$44,MATCH($M120,$A$32:$A$44,0)-1,MATCH(S$1,$A$1:$J$1,0)))/12+S119)</f>
        <v>32</v>
      </c>
      <c r="T120" s="46" cm="1">
        <f t="array" ref="T120">IF($N120=12,INDEX($A$32:$J$44,MATCH($M120,$A$32:$A$44,0),MATCH(T$1,$A$1:$J$1,0)),(INDEX($A$32:$J$44,MATCH($M120,$A$32:$A$44,0),MATCH(T$1,$A$1:$J$1,0))-INDEX($A$32:$J$44,MATCH($M120,$A$32:$A$44,0)-1,MATCH(T$1,$A$1:$J$1,0)))/12+T119)</f>
        <v>17</v>
      </c>
      <c r="U120" s="46" cm="1">
        <f t="array" ref="U120">IF($N120=12,INDEX($A$32:$J$44,MATCH($M120,$A$32:$A$44,0),MATCH(U$1,$A$1:$J$1,0)),(INDEX($A$32:$J$44,MATCH($M120,$A$32:$A$44,0),MATCH(U$1,$A$1:$J$1,0))-INDEX($A$32:$J$44,MATCH($M120,$A$32:$A$44,0)-1,MATCH(U$1,$A$1:$J$1,0)))/12+U119)</f>
        <v>6</v>
      </c>
      <c r="V120" s="46" cm="1">
        <f t="array" ref="V120">IF($N120=12,INDEX($A$32:$J$44,MATCH($M120,$A$32:$A$44,0),MATCH(V$1,$A$1:$J$1,0)),(INDEX($A$32:$J$44,MATCH($M120,$A$32:$A$44,0),MATCH(V$1,$A$1:$J$1,0))-INDEX($A$32:$J$44,MATCH($M120,$A$32:$A$44,0)-1,MATCH(V$1,$A$1:$J$1,0)))/12+V119)</f>
        <v>15325.916666666673</v>
      </c>
      <c r="W120" s="46" cm="1">
        <f t="array" ref="W120">IF($N120=12,INDEX($A$32:$J$44,MATCH($M120,$A$32:$A$44,0),MATCH(W$1,$A$1:$J$1,0)),(INDEX($A$32:$J$44,MATCH($M120,$A$32:$A$44,0),MATCH(W$1,$A$1:$J$1,0))-INDEX($A$32:$J$44,MATCH($M120,$A$32:$A$44,0)-1,MATCH(W$1,$A$1:$J$1,0)))/12+W119)</f>
        <v>12348.083333333327</v>
      </c>
    </row>
    <row r="121" spans="12:24" x14ac:dyDescent="0.2">
      <c r="L121" s="211">
        <f>'Purchased Power Model'!A122</f>
        <v>44166</v>
      </c>
      <c r="M121" s="212">
        <f>'Purchased Power Model'!B122</f>
        <v>2020</v>
      </c>
      <c r="N121" s="212">
        <f>'Purchased Power Model'!C122</f>
        <v>12</v>
      </c>
      <c r="O121" s="46" cm="1">
        <f t="array" ref="O121">IF($N121=12,INDEX($A$32:$J$44,MATCH($M121,$A$32:$A$44,0),MATCH(O$1,$A$1:$J$1,0)),(INDEX($A$32:$J$44,MATCH($M121,$A$32:$A$44,0),MATCH(O$1,$A$1:$J$1,0))-INDEX($A$32:$J$44,MATCH($M121,$A$32:$A$44,0)-1,MATCH(O$1,$A$1:$J$1,0)))/12+O120)</f>
        <v>10862</v>
      </c>
      <c r="P121" s="46" cm="1">
        <f t="array" ref="P121">IF($N121=12,INDEX($A$32:$J$44,MATCH($M121,$A$32:$A$44,0),MATCH(P$1,$A$1:$J$1,0)),(INDEX($A$32:$J$44,MATCH($M121,$A$32:$A$44,0),MATCH(P$1,$A$1:$J$1,0))-INDEX($A$32:$J$44,MATCH($M121,$A$32:$A$44,0)-1,MATCH(P$1,$A$1:$J$1,0)))/12+P120)</f>
        <v>1253</v>
      </c>
      <c r="Q121" s="46" cm="1">
        <f t="array" ref="Q121">IF($N121=12,INDEX($A$32:$J$44,MATCH($M121,$A$32:$A$44,0),MATCH(Q$1,$A$1:$J$1,0)),(INDEX($A$32:$J$44,MATCH($M121,$A$32:$A$44,0),MATCH(Q$1,$A$1:$J$1,0))-INDEX($A$32:$J$44,MATCH($M121,$A$32:$A$44,0)-1,MATCH(Q$1,$A$1:$J$1,0)))/12+Q120)</f>
        <v>98</v>
      </c>
      <c r="R121" s="46" cm="1">
        <f t="array" ref="R121">IF($N121=12,INDEX($A$32:$J$44,MATCH($M121,$A$32:$A$44,0),MATCH(R$1,$A$1:$J$1,0)),(INDEX($A$32:$J$44,MATCH($M121,$A$32:$A$44,0),MATCH(R$1,$A$1:$J$1,0))-INDEX($A$32:$J$44,MATCH($M121,$A$32:$A$44,0)-1,MATCH(R$1,$A$1:$J$1,0)))/12+R120)</f>
        <v>3080</v>
      </c>
      <c r="S121" s="46" cm="1">
        <f t="array" ref="S121">IF($N121=12,INDEX($A$32:$J$44,MATCH($M121,$A$32:$A$44,0),MATCH(S$1,$A$1:$J$1,0)),(INDEX($A$32:$J$44,MATCH($M121,$A$32:$A$44,0),MATCH(S$1,$A$1:$J$1,0))-INDEX($A$32:$J$44,MATCH($M121,$A$32:$A$44,0)-1,MATCH(S$1,$A$1:$J$1,0)))/12+S120)</f>
        <v>32</v>
      </c>
      <c r="T121" s="46" cm="1">
        <f t="array" ref="T121">IF($N121=12,INDEX($A$32:$J$44,MATCH($M121,$A$32:$A$44,0),MATCH(T$1,$A$1:$J$1,0)),(INDEX($A$32:$J$44,MATCH($M121,$A$32:$A$44,0),MATCH(T$1,$A$1:$J$1,0))-INDEX($A$32:$J$44,MATCH($M121,$A$32:$A$44,0)-1,MATCH(T$1,$A$1:$J$1,0)))/12+T120)</f>
        <v>17</v>
      </c>
      <c r="U121" s="46" cm="1">
        <f t="array" ref="U121">IF($N121=12,INDEX($A$32:$J$44,MATCH($M121,$A$32:$A$44,0),MATCH(U$1,$A$1:$J$1,0)),(INDEX($A$32:$J$44,MATCH($M121,$A$32:$A$44,0),MATCH(U$1,$A$1:$J$1,0))-INDEX($A$32:$J$44,MATCH($M121,$A$32:$A$44,0)-1,MATCH(U$1,$A$1:$J$1,0)))/12+U120)</f>
        <v>6</v>
      </c>
      <c r="V121" s="46" cm="1">
        <f t="array" ref="V121">IF($N121=12,INDEX($A$32:$J$44,MATCH($M121,$A$32:$A$44,0),MATCH(V$1,$A$1:$J$1,0)),(INDEX($A$32:$J$44,MATCH($M121,$A$32:$A$44,0),MATCH(V$1,$A$1:$J$1,0))-INDEX($A$32:$J$44,MATCH($M121,$A$32:$A$44,0)-1,MATCH(V$1,$A$1:$J$1,0)))/12+V120)</f>
        <v>15348</v>
      </c>
      <c r="W121" s="46" cm="1">
        <f t="array" ref="W121">IF($N121=12,INDEX($A$32:$J$44,MATCH($M121,$A$32:$A$44,0),MATCH(W$1,$A$1:$J$1,0)),(INDEX($A$32:$J$44,MATCH($M121,$A$32:$A$44,0),MATCH(W$1,$A$1:$J$1,0))-INDEX($A$32:$J$44,MATCH($M121,$A$32:$A$44,0)-1,MATCH(W$1,$A$1:$J$1,0)))/12+W120)</f>
        <v>12364</v>
      </c>
      <c r="X121" s="46">
        <f>W121+S121+T121+7</f>
        <v>12420</v>
      </c>
    </row>
    <row r="122" spans="12:24" x14ac:dyDescent="0.2">
      <c r="L122" s="214">
        <f>'Purchased Power Model'!A123</f>
        <v>44197</v>
      </c>
      <c r="M122" s="215">
        <f>'Purchased Power Model'!B123</f>
        <v>2021</v>
      </c>
      <c r="N122" s="215">
        <f>'Purchased Power Model'!C123</f>
        <v>1</v>
      </c>
      <c r="O122" s="216" cm="1">
        <f t="array" ref="O122">IF($N122=12,INDEX($A$32:$J$44,MATCH($M122,$A$32:$A$44,0),MATCH(O$1,$A$1:$J$1,0)),(INDEX($A$32:$J$44,MATCH($M122,$A$32:$A$44,0),MATCH(O$1,$A$1:$J$1,0))-INDEX($A$32:$J$44,MATCH($M122,$A$32:$A$44,0)-1,MATCH(O$1,$A$1:$J$1,0)))/12+O121)</f>
        <v>10870.280656298508</v>
      </c>
      <c r="P122" s="216" cm="1">
        <f t="array" ref="P122">IF($N122=12,INDEX($A$32:$J$44,MATCH($M122,$A$32:$A$44,0),MATCH(P$1,$A$1:$J$1,0)),(INDEX($A$32:$J$44,MATCH($M122,$A$32:$A$44,0),MATCH(P$1,$A$1:$J$1,0))-INDEX($A$32:$J$44,MATCH($M122,$A$32:$A$44,0)-1,MATCH(P$1,$A$1:$J$1,0)))/12+P121)</f>
        <v>1253.4869410187316</v>
      </c>
      <c r="Q122" s="216" cm="1">
        <f t="array" ref="Q122">IF($N122=12,INDEX($A$32:$J$44,MATCH($M122,$A$32:$A$44,0),MATCH(Q$1,$A$1:$J$1,0)),(INDEX($A$32:$J$44,MATCH($M122,$A$32:$A$44,0),MATCH(Q$1,$A$1:$J$1,0))-INDEX($A$32:$J$44,MATCH($M122,$A$32:$A$44,0)-1,MATCH(Q$1,$A$1:$J$1,0)))/12+Q121)</f>
        <v>98.023707183736491</v>
      </c>
      <c r="R122" s="216" cm="1">
        <f t="array" ref="R122">IF($N122=12,INDEX($A$32:$J$44,MATCH($M122,$A$32:$A$44,0),MATCH(R$1,$A$1:$J$1,0)),(INDEX($A$32:$J$44,MATCH($M122,$A$32:$A$44,0),MATCH(R$1,$A$1:$J$1,0))-INDEX($A$32:$J$44,MATCH($M122,$A$32:$A$44,0)-1,MATCH(R$1,$A$1:$J$1,0)))/12+R121)</f>
        <v>3082.517902053839</v>
      </c>
      <c r="S122" s="216" cm="1">
        <f t="array" ref="S122">IF($N122=12,INDEX($A$32:$J$44,MATCH($M122,$A$32:$A$44,0),MATCH(S$1,$A$1:$J$1,0)),(INDEX($A$32:$J$44,MATCH($M122,$A$32:$A$44,0),MATCH(S$1,$A$1:$J$1,0))-INDEX($A$32:$J$44,MATCH($M122,$A$32:$A$44,0)-1,MATCH(S$1,$A$1:$J$1,0)))/12+S121)</f>
        <v>32</v>
      </c>
      <c r="T122" s="216" cm="1">
        <f t="array" ref="T122">IF($N122=12,INDEX($A$32:$J$44,MATCH($M122,$A$32:$A$44,0),MATCH(T$1,$A$1:$J$1,0)),(INDEX($A$32:$J$44,MATCH($M122,$A$32:$A$44,0),MATCH(T$1,$A$1:$J$1,0))-INDEX($A$32:$J$44,MATCH($M122,$A$32:$A$44,0)-1,MATCH(T$1,$A$1:$J$1,0)))/12+T121)</f>
        <v>17</v>
      </c>
      <c r="U122" s="216" cm="1">
        <f t="array" ref="U122">IF($N122=12,INDEX($A$32:$J$44,MATCH($M122,$A$32:$A$44,0),MATCH(U$1,$A$1:$J$1,0)),(INDEX($A$32:$J$44,MATCH($M122,$A$32:$A$44,0),MATCH(U$1,$A$1:$J$1,0))-INDEX($A$32:$J$44,MATCH($M122,$A$32:$A$44,0)-1,MATCH(U$1,$A$1:$J$1,0)))/12+U121)</f>
        <v>6</v>
      </c>
      <c r="V122" s="216" cm="1">
        <f t="array" ref="V122">IF($N122=12,INDEX($A$32:$J$44,MATCH($M122,$A$32:$A$44,0),MATCH(V$1,$A$1:$J$1,0)),(INDEX($A$32:$J$44,MATCH($M122,$A$32:$A$44,0),MATCH(V$1,$A$1:$J$1,0))-INDEX($A$32:$J$44,MATCH($M122,$A$32:$A$44,0)-1,MATCH(V$1,$A$1:$J$1,0)))/12+V121)</f>
        <v>15359.309206554815</v>
      </c>
      <c r="W122" s="216" cm="1">
        <f t="array" ref="W122">IF($N122=12,INDEX($A$32:$J$44,MATCH($M122,$A$32:$A$44,0),MATCH(W$1,$A$1:$J$1,0)),(INDEX($A$32:$J$44,MATCH($M122,$A$32:$A$44,0),MATCH(W$1,$A$1:$J$1,0))-INDEX($A$32:$J$44,MATCH($M122,$A$32:$A$44,0)-1,MATCH(W$1,$A$1:$J$1,0)))/12+W121)</f>
        <v>12372.791304500977</v>
      </c>
      <c r="X122" s="46">
        <f t="shared" ref="X122:X145" si="24">W122+S122+T122+7</f>
        <v>12428.791304500977</v>
      </c>
    </row>
    <row r="123" spans="12:24" x14ac:dyDescent="0.2">
      <c r="L123" s="214">
        <f>'Purchased Power Model'!A124</f>
        <v>44228</v>
      </c>
      <c r="M123" s="215">
        <f>'Purchased Power Model'!B124</f>
        <v>2021</v>
      </c>
      <c r="N123" s="215">
        <f>'Purchased Power Model'!C124</f>
        <v>2</v>
      </c>
      <c r="O123" s="216" cm="1">
        <f t="array" ref="O123">IF($N123=12,INDEX($A$32:$J$44,MATCH($M123,$A$32:$A$44,0),MATCH(O$1,$A$1:$J$1,0)),(INDEX($A$32:$J$44,MATCH($M123,$A$32:$A$44,0),MATCH(O$1,$A$1:$J$1,0))-INDEX($A$32:$J$44,MATCH($M123,$A$32:$A$44,0)-1,MATCH(O$1,$A$1:$J$1,0)))/12+O122)</f>
        <v>10878.561312597016</v>
      </c>
      <c r="P123" s="216" cm="1">
        <f t="array" ref="P123">IF($N123=12,INDEX($A$32:$J$44,MATCH($M123,$A$32:$A$44,0),MATCH(P$1,$A$1:$J$1,0)),(INDEX($A$32:$J$44,MATCH($M123,$A$32:$A$44,0),MATCH(P$1,$A$1:$J$1,0))-INDEX($A$32:$J$44,MATCH($M123,$A$32:$A$44,0)-1,MATCH(P$1,$A$1:$J$1,0)))/12+P122)</f>
        <v>1253.9738820374632</v>
      </c>
      <c r="Q123" s="216" cm="1">
        <f t="array" ref="Q123">IF($N123=12,INDEX($A$32:$J$44,MATCH($M123,$A$32:$A$44,0),MATCH(Q$1,$A$1:$J$1,0)),(INDEX($A$32:$J$44,MATCH($M123,$A$32:$A$44,0),MATCH(Q$1,$A$1:$J$1,0))-INDEX($A$32:$J$44,MATCH($M123,$A$32:$A$44,0)-1,MATCH(Q$1,$A$1:$J$1,0)))/12+Q122)</f>
        <v>98.047414367472982</v>
      </c>
      <c r="R123" s="216" cm="1">
        <f t="array" ref="R123">IF($N123=12,INDEX($A$32:$J$44,MATCH($M123,$A$32:$A$44,0),MATCH(R$1,$A$1:$J$1,0)),(INDEX($A$32:$J$44,MATCH($M123,$A$32:$A$44,0),MATCH(R$1,$A$1:$J$1,0))-INDEX($A$32:$J$44,MATCH($M123,$A$32:$A$44,0)-1,MATCH(R$1,$A$1:$J$1,0)))/12+R122)</f>
        <v>3085.0358041076779</v>
      </c>
      <c r="S123" s="216" cm="1">
        <f t="array" ref="S123">IF($N123=12,INDEX($A$32:$J$44,MATCH($M123,$A$32:$A$44,0),MATCH(S$1,$A$1:$J$1,0)),(INDEX($A$32:$J$44,MATCH($M123,$A$32:$A$44,0),MATCH(S$1,$A$1:$J$1,0))-INDEX($A$32:$J$44,MATCH($M123,$A$32:$A$44,0)-1,MATCH(S$1,$A$1:$J$1,0)))/12+S122)</f>
        <v>32</v>
      </c>
      <c r="T123" s="216" cm="1">
        <f t="array" ref="T123">IF($N123=12,INDEX($A$32:$J$44,MATCH($M123,$A$32:$A$44,0),MATCH(T$1,$A$1:$J$1,0)),(INDEX($A$32:$J$44,MATCH($M123,$A$32:$A$44,0),MATCH(T$1,$A$1:$J$1,0))-INDEX($A$32:$J$44,MATCH($M123,$A$32:$A$44,0)-1,MATCH(T$1,$A$1:$J$1,0)))/12+T122)</f>
        <v>17</v>
      </c>
      <c r="U123" s="216" cm="1">
        <f t="array" ref="U123">IF($N123=12,INDEX($A$32:$J$44,MATCH($M123,$A$32:$A$44,0),MATCH(U$1,$A$1:$J$1,0)),(INDEX($A$32:$J$44,MATCH($M123,$A$32:$A$44,0),MATCH(U$1,$A$1:$J$1,0))-INDEX($A$32:$J$44,MATCH($M123,$A$32:$A$44,0)-1,MATCH(U$1,$A$1:$J$1,0)))/12+U122)</f>
        <v>6</v>
      </c>
      <c r="V123" s="216" cm="1">
        <f t="array" ref="V123">IF($N123=12,INDEX($A$32:$J$44,MATCH($M123,$A$32:$A$44,0),MATCH(V$1,$A$1:$J$1,0)),(INDEX($A$32:$J$44,MATCH($M123,$A$32:$A$44,0),MATCH(V$1,$A$1:$J$1,0))-INDEX($A$32:$J$44,MATCH($M123,$A$32:$A$44,0)-1,MATCH(V$1,$A$1:$J$1,0)))/12+V122)</f>
        <v>15370.618413109631</v>
      </c>
      <c r="W123" s="216" cm="1">
        <f t="array" ref="W123">IF($N123=12,INDEX($A$32:$J$44,MATCH($M123,$A$32:$A$44,0),MATCH(W$1,$A$1:$J$1,0)),(INDEX($A$32:$J$44,MATCH($M123,$A$32:$A$44,0),MATCH(W$1,$A$1:$J$1,0))-INDEX($A$32:$J$44,MATCH($M123,$A$32:$A$44,0)-1,MATCH(W$1,$A$1:$J$1,0)))/12+W122)</f>
        <v>12381.582609001955</v>
      </c>
      <c r="X123" s="46">
        <f t="shared" si="24"/>
        <v>12437.582609001955</v>
      </c>
    </row>
    <row r="124" spans="12:24" x14ac:dyDescent="0.2">
      <c r="L124" s="214">
        <f>'Purchased Power Model'!A125</f>
        <v>44257</v>
      </c>
      <c r="M124" s="215">
        <f>'Purchased Power Model'!B125</f>
        <v>2021</v>
      </c>
      <c r="N124" s="215">
        <f>'Purchased Power Model'!C125</f>
        <v>3</v>
      </c>
      <c r="O124" s="216" cm="1">
        <f t="array" ref="O124">IF($N124=12,INDEX($A$32:$J$44,MATCH($M124,$A$32:$A$44,0),MATCH(O$1,$A$1:$J$1,0)),(INDEX($A$32:$J$44,MATCH($M124,$A$32:$A$44,0),MATCH(O$1,$A$1:$J$1,0))-INDEX($A$32:$J$44,MATCH($M124,$A$32:$A$44,0)-1,MATCH(O$1,$A$1:$J$1,0)))/12+O123)</f>
        <v>10886.841968895524</v>
      </c>
      <c r="P124" s="216" cm="1">
        <f t="array" ref="P124">IF($N124=12,INDEX($A$32:$J$44,MATCH($M124,$A$32:$A$44,0),MATCH(P$1,$A$1:$J$1,0)),(INDEX($A$32:$J$44,MATCH($M124,$A$32:$A$44,0),MATCH(P$1,$A$1:$J$1,0))-INDEX($A$32:$J$44,MATCH($M124,$A$32:$A$44,0)-1,MATCH(P$1,$A$1:$J$1,0)))/12+P123)</f>
        <v>1254.4608230561948</v>
      </c>
      <c r="Q124" s="216" cm="1">
        <f t="array" ref="Q124">IF($N124=12,INDEX($A$32:$J$44,MATCH($M124,$A$32:$A$44,0),MATCH(Q$1,$A$1:$J$1,0)),(INDEX($A$32:$J$44,MATCH($M124,$A$32:$A$44,0),MATCH(Q$1,$A$1:$J$1,0))-INDEX($A$32:$J$44,MATCH($M124,$A$32:$A$44,0)-1,MATCH(Q$1,$A$1:$J$1,0)))/12+Q123)</f>
        <v>98.071121551209472</v>
      </c>
      <c r="R124" s="216" cm="1">
        <f t="array" ref="R124">IF($N124=12,INDEX($A$32:$J$44,MATCH($M124,$A$32:$A$44,0),MATCH(R$1,$A$1:$J$1,0)),(INDEX($A$32:$J$44,MATCH($M124,$A$32:$A$44,0),MATCH(R$1,$A$1:$J$1,0))-INDEX($A$32:$J$44,MATCH($M124,$A$32:$A$44,0)-1,MATCH(R$1,$A$1:$J$1,0)))/12+R123)</f>
        <v>3087.5537061615169</v>
      </c>
      <c r="S124" s="216" cm="1">
        <f t="array" ref="S124">IF($N124=12,INDEX($A$32:$J$44,MATCH($M124,$A$32:$A$44,0),MATCH(S$1,$A$1:$J$1,0)),(INDEX($A$32:$J$44,MATCH($M124,$A$32:$A$44,0),MATCH(S$1,$A$1:$J$1,0))-INDEX($A$32:$J$44,MATCH($M124,$A$32:$A$44,0)-1,MATCH(S$1,$A$1:$J$1,0)))/12+S123)</f>
        <v>32</v>
      </c>
      <c r="T124" s="216" cm="1">
        <f t="array" ref="T124">IF($N124=12,INDEX($A$32:$J$44,MATCH($M124,$A$32:$A$44,0),MATCH(T$1,$A$1:$J$1,0)),(INDEX($A$32:$J$44,MATCH($M124,$A$32:$A$44,0),MATCH(T$1,$A$1:$J$1,0))-INDEX($A$32:$J$44,MATCH($M124,$A$32:$A$44,0)-1,MATCH(T$1,$A$1:$J$1,0)))/12+T123)</f>
        <v>17</v>
      </c>
      <c r="U124" s="216" cm="1">
        <f t="array" ref="U124">IF($N124=12,INDEX($A$32:$J$44,MATCH($M124,$A$32:$A$44,0),MATCH(U$1,$A$1:$J$1,0)),(INDEX($A$32:$J$44,MATCH($M124,$A$32:$A$44,0),MATCH(U$1,$A$1:$J$1,0))-INDEX($A$32:$J$44,MATCH($M124,$A$32:$A$44,0)-1,MATCH(U$1,$A$1:$J$1,0)))/12+U123)</f>
        <v>6</v>
      </c>
      <c r="V124" s="216" cm="1">
        <f t="array" ref="V124">IF($N124=12,INDEX($A$32:$J$44,MATCH($M124,$A$32:$A$44,0),MATCH(V$1,$A$1:$J$1,0)),(INDEX($A$32:$J$44,MATCH($M124,$A$32:$A$44,0),MATCH(V$1,$A$1:$J$1,0))-INDEX($A$32:$J$44,MATCH($M124,$A$32:$A$44,0)-1,MATCH(V$1,$A$1:$J$1,0)))/12+V123)</f>
        <v>15381.927619664446</v>
      </c>
      <c r="W124" s="216" cm="1">
        <f t="array" ref="W124">IF($N124=12,INDEX($A$32:$J$44,MATCH($M124,$A$32:$A$44,0),MATCH(W$1,$A$1:$J$1,0)),(INDEX($A$32:$J$44,MATCH($M124,$A$32:$A$44,0),MATCH(W$1,$A$1:$J$1,0))-INDEX($A$32:$J$44,MATCH($M124,$A$32:$A$44,0)-1,MATCH(W$1,$A$1:$J$1,0)))/12+W123)</f>
        <v>12390.373913502932</v>
      </c>
      <c r="X124" s="46">
        <f t="shared" si="24"/>
        <v>12446.373913502932</v>
      </c>
    </row>
    <row r="125" spans="12:24" x14ac:dyDescent="0.2">
      <c r="L125" s="214">
        <f>'Purchased Power Model'!A126</f>
        <v>44288</v>
      </c>
      <c r="M125" s="215">
        <f>'Purchased Power Model'!B126</f>
        <v>2021</v>
      </c>
      <c r="N125" s="215">
        <f>'Purchased Power Model'!C126</f>
        <v>4</v>
      </c>
      <c r="O125" s="216" cm="1">
        <f t="array" ref="O125">IF($N125=12,INDEX($A$32:$J$44,MATCH($M125,$A$32:$A$44,0),MATCH(O$1,$A$1:$J$1,0)),(INDEX($A$32:$J$44,MATCH($M125,$A$32:$A$44,0),MATCH(O$1,$A$1:$J$1,0))-INDEX($A$32:$J$44,MATCH($M125,$A$32:$A$44,0)-1,MATCH(O$1,$A$1:$J$1,0)))/12+O124)</f>
        <v>10895.122625194032</v>
      </c>
      <c r="P125" s="216" cm="1">
        <f t="array" ref="P125">IF($N125=12,INDEX($A$32:$J$44,MATCH($M125,$A$32:$A$44,0),MATCH(P$1,$A$1:$J$1,0)),(INDEX($A$32:$J$44,MATCH($M125,$A$32:$A$44,0),MATCH(P$1,$A$1:$J$1,0))-INDEX($A$32:$J$44,MATCH($M125,$A$32:$A$44,0)-1,MATCH(P$1,$A$1:$J$1,0)))/12+P124)</f>
        <v>1254.9477640749265</v>
      </c>
      <c r="Q125" s="216" cm="1">
        <f t="array" ref="Q125">IF($N125=12,INDEX($A$32:$J$44,MATCH($M125,$A$32:$A$44,0),MATCH(Q$1,$A$1:$J$1,0)),(INDEX($A$32:$J$44,MATCH($M125,$A$32:$A$44,0),MATCH(Q$1,$A$1:$J$1,0))-INDEX($A$32:$J$44,MATCH($M125,$A$32:$A$44,0)-1,MATCH(Q$1,$A$1:$J$1,0)))/12+Q124)</f>
        <v>98.094828734945963</v>
      </c>
      <c r="R125" s="216" cm="1">
        <f t="array" ref="R125">IF($N125=12,INDEX($A$32:$J$44,MATCH($M125,$A$32:$A$44,0),MATCH(R$1,$A$1:$J$1,0)),(INDEX($A$32:$J$44,MATCH($M125,$A$32:$A$44,0),MATCH(R$1,$A$1:$J$1,0))-INDEX($A$32:$J$44,MATCH($M125,$A$32:$A$44,0)-1,MATCH(R$1,$A$1:$J$1,0)))/12+R124)</f>
        <v>3090.0716082153558</v>
      </c>
      <c r="S125" s="216" cm="1">
        <f t="array" ref="S125">IF($N125=12,INDEX($A$32:$J$44,MATCH($M125,$A$32:$A$44,0),MATCH(S$1,$A$1:$J$1,0)),(INDEX($A$32:$J$44,MATCH($M125,$A$32:$A$44,0),MATCH(S$1,$A$1:$J$1,0))-INDEX($A$32:$J$44,MATCH($M125,$A$32:$A$44,0)-1,MATCH(S$1,$A$1:$J$1,0)))/12+S124)</f>
        <v>32</v>
      </c>
      <c r="T125" s="216" cm="1">
        <f t="array" ref="T125">IF($N125=12,INDEX($A$32:$J$44,MATCH($M125,$A$32:$A$44,0),MATCH(T$1,$A$1:$J$1,0)),(INDEX($A$32:$J$44,MATCH($M125,$A$32:$A$44,0),MATCH(T$1,$A$1:$J$1,0))-INDEX($A$32:$J$44,MATCH($M125,$A$32:$A$44,0)-1,MATCH(T$1,$A$1:$J$1,0)))/12+T124)</f>
        <v>17</v>
      </c>
      <c r="U125" s="216" cm="1">
        <f t="array" ref="U125">IF($N125=12,INDEX($A$32:$J$44,MATCH($M125,$A$32:$A$44,0),MATCH(U$1,$A$1:$J$1,0)),(INDEX($A$32:$J$44,MATCH($M125,$A$32:$A$44,0),MATCH(U$1,$A$1:$J$1,0))-INDEX($A$32:$J$44,MATCH($M125,$A$32:$A$44,0)-1,MATCH(U$1,$A$1:$J$1,0)))/12+U124)</f>
        <v>6</v>
      </c>
      <c r="V125" s="216" cm="1">
        <f t="array" ref="V125">IF($N125=12,INDEX($A$32:$J$44,MATCH($M125,$A$32:$A$44,0),MATCH(V$1,$A$1:$J$1,0)),(INDEX($A$32:$J$44,MATCH($M125,$A$32:$A$44,0),MATCH(V$1,$A$1:$J$1,0))-INDEX($A$32:$J$44,MATCH($M125,$A$32:$A$44,0)-1,MATCH(V$1,$A$1:$J$1,0)))/12+V124)</f>
        <v>15393.236826219261</v>
      </c>
      <c r="W125" s="216" cm="1">
        <f t="array" ref="W125">IF($N125=12,INDEX($A$32:$J$44,MATCH($M125,$A$32:$A$44,0),MATCH(W$1,$A$1:$J$1,0)),(INDEX($A$32:$J$44,MATCH($M125,$A$32:$A$44,0),MATCH(W$1,$A$1:$J$1,0))-INDEX($A$32:$J$44,MATCH($M125,$A$32:$A$44,0)-1,MATCH(W$1,$A$1:$J$1,0)))/12+W124)</f>
        <v>12399.165218003909</v>
      </c>
      <c r="X125" s="46">
        <f t="shared" si="24"/>
        <v>12455.165218003909</v>
      </c>
    </row>
    <row r="126" spans="12:24" x14ac:dyDescent="0.2">
      <c r="L126" s="214">
        <f>'Purchased Power Model'!A127</f>
        <v>44318</v>
      </c>
      <c r="M126" s="215">
        <f>'Purchased Power Model'!B127</f>
        <v>2021</v>
      </c>
      <c r="N126" s="215">
        <f>'Purchased Power Model'!C127</f>
        <v>5</v>
      </c>
      <c r="O126" s="216" cm="1">
        <f t="array" ref="O126">IF($N126=12,INDEX($A$32:$J$44,MATCH($M126,$A$32:$A$44,0),MATCH(O$1,$A$1:$J$1,0)),(INDEX($A$32:$J$44,MATCH($M126,$A$32:$A$44,0),MATCH(O$1,$A$1:$J$1,0))-INDEX($A$32:$J$44,MATCH($M126,$A$32:$A$44,0)-1,MATCH(O$1,$A$1:$J$1,0)))/12+O125)</f>
        <v>10903.403281492539</v>
      </c>
      <c r="P126" s="216" cm="1">
        <f t="array" ref="P126">IF($N126=12,INDEX($A$32:$J$44,MATCH($M126,$A$32:$A$44,0),MATCH(P$1,$A$1:$J$1,0)),(INDEX($A$32:$J$44,MATCH($M126,$A$32:$A$44,0),MATCH(P$1,$A$1:$J$1,0))-INDEX($A$32:$J$44,MATCH($M126,$A$32:$A$44,0)-1,MATCH(P$1,$A$1:$J$1,0)))/12+P125)</f>
        <v>1255.4347050936581</v>
      </c>
      <c r="Q126" s="216" cm="1">
        <f t="array" ref="Q126">IF($N126=12,INDEX($A$32:$J$44,MATCH($M126,$A$32:$A$44,0),MATCH(Q$1,$A$1:$J$1,0)),(INDEX($A$32:$J$44,MATCH($M126,$A$32:$A$44,0),MATCH(Q$1,$A$1:$J$1,0))-INDEX($A$32:$J$44,MATCH($M126,$A$32:$A$44,0)-1,MATCH(Q$1,$A$1:$J$1,0)))/12+Q125)</f>
        <v>98.118535918682454</v>
      </c>
      <c r="R126" s="216" cm="1">
        <f t="array" ref="R126">IF($N126=12,INDEX($A$32:$J$44,MATCH($M126,$A$32:$A$44,0),MATCH(R$1,$A$1:$J$1,0)),(INDEX($A$32:$J$44,MATCH($M126,$A$32:$A$44,0),MATCH(R$1,$A$1:$J$1,0))-INDEX($A$32:$J$44,MATCH($M126,$A$32:$A$44,0)-1,MATCH(R$1,$A$1:$J$1,0)))/12+R125)</f>
        <v>3092.5895102691948</v>
      </c>
      <c r="S126" s="216" cm="1">
        <f t="array" ref="S126">IF($N126=12,INDEX($A$32:$J$44,MATCH($M126,$A$32:$A$44,0),MATCH(S$1,$A$1:$J$1,0)),(INDEX($A$32:$J$44,MATCH($M126,$A$32:$A$44,0),MATCH(S$1,$A$1:$J$1,0))-INDEX($A$32:$J$44,MATCH($M126,$A$32:$A$44,0)-1,MATCH(S$1,$A$1:$J$1,0)))/12+S125)</f>
        <v>32</v>
      </c>
      <c r="T126" s="216" cm="1">
        <f t="array" ref="T126">IF($N126=12,INDEX($A$32:$J$44,MATCH($M126,$A$32:$A$44,0),MATCH(T$1,$A$1:$J$1,0)),(INDEX($A$32:$J$44,MATCH($M126,$A$32:$A$44,0),MATCH(T$1,$A$1:$J$1,0))-INDEX($A$32:$J$44,MATCH($M126,$A$32:$A$44,0)-1,MATCH(T$1,$A$1:$J$1,0)))/12+T125)</f>
        <v>17</v>
      </c>
      <c r="U126" s="216" cm="1">
        <f t="array" ref="U126">IF($N126=12,INDEX($A$32:$J$44,MATCH($M126,$A$32:$A$44,0),MATCH(U$1,$A$1:$J$1,0)),(INDEX($A$32:$J$44,MATCH($M126,$A$32:$A$44,0),MATCH(U$1,$A$1:$J$1,0))-INDEX($A$32:$J$44,MATCH($M126,$A$32:$A$44,0)-1,MATCH(U$1,$A$1:$J$1,0)))/12+U125)</f>
        <v>6</v>
      </c>
      <c r="V126" s="216" cm="1">
        <f t="array" ref="V126">IF($N126=12,INDEX($A$32:$J$44,MATCH($M126,$A$32:$A$44,0),MATCH(V$1,$A$1:$J$1,0)),(INDEX($A$32:$J$44,MATCH($M126,$A$32:$A$44,0),MATCH(V$1,$A$1:$J$1,0))-INDEX($A$32:$J$44,MATCH($M126,$A$32:$A$44,0)-1,MATCH(V$1,$A$1:$J$1,0)))/12+V125)</f>
        <v>15404.546032774077</v>
      </c>
      <c r="W126" s="216" cm="1">
        <f t="array" ref="W126">IF($N126=12,INDEX($A$32:$J$44,MATCH($M126,$A$32:$A$44,0),MATCH(W$1,$A$1:$J$1,0)),(INDEX($A$32:$J$44,MATCH($M126,$A$32:$A$44,0),MATCH(W$1,$A$1:$J$1,0))-INDEX($A$32:$J$44,MATCH($M126,$A$32:$A$44,0)-1,MATCH(W$1,$A$1:$J$1,0)))/12+W125)</f>
        <v>12407.956522504886</v>
      </c>
      <c r="X126" s="46">
        <f t="shared" si="24"/>
        <v>12463.956522504886</v>
      </c>
    </row>
    <row r="127" spans="12:24" x14ac:dyDescent="0.2">
      <c r="L127" s="214">
        <f>'Purchased Power Model'!A128</f>
        <v>44349</v>
      </c>
      <c r="M127" s="215">
        <f>'Purchased Power Model'!B128</f>
        <v>2021</v>
      </c>
      <c r="N127" s="215">
        <f>'Purchased Power Model'!C128</f>
        <v>6</v>
      </c>
      <c r="O127" s="216" cm="1">
        <f t="array" ref="O127">IF($N127=12,INDEX($A$32:$J$44,MATCH($M127,$A$32:$A$44,0),MATCH(O$1,$A$1:$J$1,0)),(INDEX($A$32:$J$44,MATCH($M127,$A$32:$A$44,0),MATCH(O$1,$A$1:$J$1,0))-INDEX($A$32:$J$44,MATCH($M127,$A$32:$A$44,0)-1,MATCH(O$1,$A$1:$J$1,0)))/12+O126)</f>
        <v>10911.683937791047</v>
      </c>
      <c r="P127" s="216" cm="1">
        <f t="array" ref="P127">IF($N127=12,INDEX($A$32:$J$44,MATCH($M127,$A$32:$A$44,0),MATCH(P$1,$A$1:$J$1,0)),(INDEX($A$32:$J$44,MATCH($M127,$A$32:$A$44,0),MATCH(P$1,$A$1:$J$1,0))-INDEX($A$32:$J$44,MATCH($M127,$A$32:$A$44,0)-1,MATCH(P$1,$A$1:$J$1,0)))/12+P126)</f>
        <v>1255.9216461123897</v>
      </c>
      <c r="Q127" s="216" cm="1">
        <f t="array" ref="Q127">IF($N127=12,INDEX($A$32:$J$44,MATCH($M127,$A$32:$A$44,0),MATCH(Q$1,$A$1:$J$1,0)),(INDEX($A$32:$J$44,MATCH($M127,$A$32:$A$44,0),MATCH(Q$1,$A$1:$J$1,0))-INDEX($A$32:$J$44,MATCH($M127,$A$32:$A$44,0)-1,MATCH(Q$1,$A$1:$J$1,0)))/12+Q126)</f>
        <v>98.142243102418945</v>
      </c>
      <c r="R127" s="216" cm="1">
        <f t="array" ref="R127">IF($N127=12,INDEX($A$32:$J$44,MATCH($M127,$A$32:$A$44,0),MATCH(R$1,$A$1:$J$1,0)),(INDEX($A$32:$J$44,MATCH($M127,$A$32:$A$44,0),MATCH(R$1,$A$1:$J$1,0))-INDEX($A$32:$J$44,MATCH($M127,$A$32:$A$44,0)-1,MATCH(R$1,$A$1:$J$1,0)))/12+R126)</f>
        <v>3095.1074123230337</v>
      </c>
      <c r="S127" s="216" cm="1">
        <f t="array" ref="S127">IF($N127=12,INDEX($A$32:$J$44,MATCH($M127,$A$32:$A$44,0),MATCH(S$1,$A$1:$J$1,0)),(INDEX($A$32:$J$44,MATCH($M127,$A$32:$A$44,0),MATCH(S$1,$A$1:$J$1,0))-INDEX($A$32:$J$44,MATCH($M127,$A$32:$A$44,0)-1,MATCH(S$1,$A$1:$J$1,0)))/12+S126)</f>
        <v>32</v>
      </c>
      <c r="T127" s="216" cm="1">
        <f t="array" ref="T127">IF($N127=12,INDEX($A$32:$J$44,MATCH($M127,$A$32:$A$44,0),MATCH(T$1,$A$1:$J$1,0)),(INDEX($A$32:$J$44,MATCH($M127,$A$32:$A$44,0),MATCH(T$1,$A$1:$J$1,0))-INDEX($A$32:$J$44,MATCH($M127,$A$32:$A$44,0)-1,MATCH(T$1,$A$1:$J$1,0)))/12+T126)</f>
        <v>17</v>
      </c>
      <c r="U127" s="216" cm="1">
        <f t="array" ref="U127">IF($N127=12,INDEX($A$32:$J$44,MATCH($M127,$A$32:$A$44,0),MATCH(U$1,$A$1:$J$1,0)),(INDEX($A$32:$J$44,MATCH($M127,$A$32:$A$44,0),MATCH(U$1,$A$1:$J$1,0))-INDEX($A$32:$J$44,MATCH($M127,$A$32:$A$44,0)-1,MATCH(U$1,$A$1:$J$1,0)))/12+U126)</f>
        <v>6</v>
      </c>
      <c r="V127" s="216" cm="1">
        <f t="array" ref="V127">IF($N127=12,INDEX($A$32:$J$44,MATCH($M127,$A$32:$A$44,0),MATCH(V$1,$A$1:$J$1,0)),(INDEX($A$32:$J$44,MATCH($M127,$A$32:$A$44,0),MATCH(V$1,$A$1:$J$1,0))-INDEX($A$32:$J$44,MATCH($M127,$A$32:$A$44,0)-1,MATCH(V$1,$A$1:$J$1,0)))/12+V126)</f>
        <v>15415.855239328892</v>
      </c>
      <c r="W127" s="216" cm="1">
        <f t="array" ref="W127">IF($N127=12,INDEX($A$32:$J$44,MATCH($M127,$A$32:$A$44,0),MATCH(W$1,$A$1:$J$1,0)),(INDEX($A$32:$J$44,MATCH($M127,$A$32:$A$44,0),MATCH(W$1,$A$1:$J$1,0))-INDEX($A$32:$J$44,MATCH($M127,$A$32:$A$44,0)-1,MATCH(W$1,$A$1:$J$1,0)))/12+W126)</f>
        <v>12416.747827005864</v>
      </c>
      <c r="X127" s="46">
        <f t="shared" si="24"/>
        <v>12472.747827005864</v>
      </c>
    </row>
    <row r="128" spans="12:24" x14ac:dyDescent="0.2">
      <c r="L128" s="214">
        <f>'Purchased Power Model'!A129</f>
        <v>44379</v>
      </c>
      <c r="M128" s="215">
        <f>'Purchased Power Model'!B129</f>
        <v>2021</v>
      </c>
      <c r="N128" s="215">
        <f>'Purchased Power Model'!C129</f>
        <v>7</v>
      </c>
      <c r="O128" s="216" cm="1">
        <f t="array" ref="O128">IF($N128=12,INDEX($A$32:$J$44,MATCH($M128,$A$32:$A$44,0),MATCH(O$1,$A$1:$J$1,0)),(INDEX($A$32:$J$44,MATCH($M128,$A$32:$A$44,0),MATCH(O$1,$A$1:$J$1,0))-INDEX($A$32:$J$44,MATCH($M128,$A$32:$A$44,0)-1,MATCH(O$1,$A$1:$J$1,0)))/12+O127)</f>
        <v>10919.964594089555</v>
      </c>
      <c r="P128" s="216" cm="1">
        <f t="array" ref="P128">IF($N128=12,INDEX($A$32:$J$44,MATCH($M128,$A$32:$A$44,0),MATCH(P$1,$A$1:$J$1,0)),(INDEX($A$32:$J$44,MATCH($M128,$A$32:$A$44,0),MATCH(P$1,$A$1:$J$1,0))-INDEX($A$32:$J$44,MATCH($M128,$A$32:$A$44,0)-1,MATCH(P$1,$A$1:$J$1,0)))/12+P127)</f>
        <v>1256.4085871311213</v>
      </c>
      <c r="Q128" s="216" cm="1">
        <f t="array" ref="Q128">IF($N128=12,INDEX($A$32:$J$44,MATCH($M128,$A$32:$A$44,0),MATCH(Q$1,$A$1:$J$1,0)),(INDEX($A$32:$J$44,MATCH($M128,$A$32:$A$44,0),MATCH(Q$1,$A$1:$J$1,0))-INDEX($A$32:$J$44,MATCH($M128,$A$32:$A$44,0)-1,MATCH(Q$1,$A$1:$J$1,0)))/12+Q127)</f>
        <v>98.165950286155436</v>
      </c>
      <c r="R128" s="216" cm="1">
        <f t="array" ref="R128">IF($N128=12,INDEX($A$32:$J$44,MATCH($M128,$A$32:$A$44,0),MATCH(R$1,$A$1:$J$1,0)),(INDEX($A$32:$J$44,MATCH($M128,$A$32:$A$44,0),MATCH(R$1,$A$1:$J$1,0))-INDEX($A$32:$J$44,MATCH($M128,$A$32:$A$44,0)-1,MATCH(R$1,$A$1:$J$1,0)))/12+R127)</f>
        <v>3097.6253143768727</v>
      </c>
      <c r="S128" s="216" cm="1">
        <f t="array" ref="S128">IF($N128=12,INDEX($A$32:$J$44,MATCH($M128,$A$32:$A$44,0),MATCH(S$1,$A$1:$J$1,0)),(INDEX($A$32:$J$44,MATCH($M128,$A$32:$A$44,0),MATCH(S$1,$A$1:$J$1,0))-INDEX($A$32:$J$44,MATCH($M128,$A$32:$A$44,0)-1,MATCH(S$1,$A$1:$J$1,0)))/12+S127)</f>
        <v>32</v>
      </c>
      <c r="T128" s="216" cm="1">
        <f t="array" ref="T128">IF($N128=12,INDEX($A$32:$J$44,MATCH($M128,$A$32:$A$44,0),MATCH(T$1,$A$1:$J$1,0)),(INDEX($A$32:$J$44,MATCH($M128,$A$32:$A$44,0),MATCH(T$1,$A$1:$J$1,0))-INDEX($A$32:$J$44,MATCH($M128,$A$32:$A$44,0)-1,MATCH(T$1,$A$1:$J$1,0)))/12+T127)</f>
        <v>17</v>
      </c>
      <c r="U128" s="216" cm="1">
        <f t="array" ref="U128">IF($N128=12,INDEX($A$32:$J$44,MATCH($M128,$A$32:$A$44,0),MATCH(U$1,$A$1:$J$1,0)),(INDEX($A$32:$J$44,MATCH($M128,$A$32:$A$44,0),MATCH(U$1,$A$1:$J$1,0))-INDEX($A$32:$J$44,MATCH($M128,$A$32:$A$44,0)-1,MATCH(U$1,$A$1:$J$1,0)))/12+U127)</f>
        <v>6</v>
      </c>
      <c r="V128" s="216" cm="1">
        <f t="array" ref="V128">IF($N128=12,INDEX($A$32:$J$44,MATCH($M128,$A$32:$A$44,0),MATCH(V$1,$A$1:$J$1,0)),(INDEX($A$32:$J$44,MATCH($M128,$A$32:$A$44,0),MATCH(V$1,$A$1:$J$1,0))-INDEX($A$32:$J$44,MATCH($M128,$A$32:$A$44,0)-1,MATCH(V$1,$A$1:$J$1,0)))/12+V127)</f>
        <v>15427.164445883707</v>
      </c>
      <c r="W128" s="216" cm="1">
        <f t="array" ref="W128">IF($N128=12,INDEX($A$32:$J$44,MATCH($M128,$A$32:$A$44,0),MATCH(W$1,$A$1:$J$1,0)),(INDEX($A$32:$J$44,MATCH($M128,$A$32:$A$44,0),MATCH(W$1,$A$1:$J$1,0))-INDEX($A$32:$J$44,MATCH($M128,$A$32:$A$44,0)-1,MATCH(W$1,$A$1:$J$1,0)))/12+W127)</f>
        <v>12425.539131506841</v>
      </c>
      <c r="X128" s="46">
        <f t="shared" si="24"/>
        <v>12481.539131506841</v>
      </c>
    </row>
    <row r="129" spans="12:24" x14ac:dyDescent="0.2">
      <c r="L129" s="214">
        <f>'Purchased Power Model'!A130</f>
        <v>44410</v>
      </c>
      <c r="M129" s="215">
        <f>'Purchased Power Model'!B130</f>
        <v>2021</v>
      </c>
      <c r="N129" s="215">
        <f>'Purchased Power Model'!C130</f>
        <v>8</v>
      </c>
      <c r="O129" s="216" cm="1">
        <f t="array" ref="O129">IF($N129=12,INDEX($A$32:$J$44,MATCH($M129,$A$32:$A$44,0),MATCH(O$1,$A$1:$J$1,0)),(INDEX($A$32:$J$44,MATCH($M129,$A$32:$A$44,0),MATCH(O$1,$A$1:$J$1,0))-INDEX($A$32:$J$44,MATCH($M129,$A$32:$A$44,0)-1,MATCH(O$1,$A$1:$J$1,0)))/12+O128)</f>
        <v>10928.245250388063</v>
      </c>
      <c r="P129" s="216" cm="1">
        <f t="array" ref="P129">IF($N129=12,INDEX($A$32:$J$44,MATCH($M129,$A$32:$A$44,0),MATCH(P$1,$A$1:$J$1,0)),(INDEX($A$32:$J$44,MATCH($M129,$A$32:$A$44,0),MATCH(P$1,$A$1:$J$1,0))-INDEX($A$32:$J$44,MATCH($M129,$A$32:$A$44,0)-1,MATCH(P$1,$A$1:$J$1,0)))/12+P128)</f>
        <v>1256.8955281498529</v>
      </c>
      <c r="Q129" s="216" cm="1">
        <f t="array" ref="Q129">IF($N129=12,INDEX($A$32:$J$44,MATCH($M129,$A$32:$A$44,0),MATCH(Q$1,$A$1:$J$1,0)),(INDEX($A$32:$J$44,MATCH($M129,$A$32:$A$44,0),MATCH(Q$1,$A$1:$J$1,0))-INDEX($A$32:$J$44,MATCH($M129,$A$32:$A$44,0)-1,MATCH(Q$1,$A$1:$J$1,0)))/12+Q128)</f>
        <v>98.189657469891927</v>
      </c>
      <c r="R129" s="216" cm="1">
        <f t="array" ref="R129">IF($N129=12,INDEX($A$32:$J$44,MATCH($M129,$A$32:$A$44,0),MATCH(R$1,$A$1:$J$1,0)),(INDEX($A$32:$J$44,MATCH($M129,$A$32:$A$44,0),MATCH(R$1,$A$1:$J$1,0))-INDEX($A$32:$J$44,MATCH($M129,$A$32:$A$44,0)-1,MATCH(R$1,$A$1:$J$1,0)))/12+R128)</f>
        <v>3100.1432164307116</v>
      </c>
      <c r="S129" s="216" cm="1">
        <f t="array" ref="S129">IF($N129=12,INDEX($A$32:$J$44,MATCH($M129,$A$32:$A$44,0),MATCH(S$1,$A$1:$J$1,0)),(INDEX($A$32:$J$44,MATCH($M129,$A$32:$A$44,0),MATCH(S$1,$A$1:$J$1,0))-INDEX($A$32:$J$44,MATCH($M129,$A$32:$A$44,0)-1,MATCH(S$1,$A$1:$J$1,0)))/12+S128)</f>
        <v>32</v>
      </c>
      <c r="T129" s="216" cm="1">
        <f t="array" ref="T129">IF($N129=12,INDEX($A$32:$J$44,MATCH($M129,$A$32:$A$44,0),MATCH(T$1,$A$1:$J$1,0)),(INDEX($A$32:$J$44,MATCH($M129,$A$32:$A$44,0),MATCH(T$1,$A$1:$J$1,0))-INDEX($A$32:$J$44,MATCH($M129,$A$32:$A$44,0)-1,MATCH(T$1,$A$1:$J$1,0)))/12+T128)</f>
        <v>17</v>
      </c>
      <c r="U129" s="216" cm="1">
        <f t="array" ref="U129">IF($N129=12,INDEX($A$32:$J$44,MATCH($M129,$A$32:$A$44,0),MATCH(U$1,$A$1:$J$1,0)),(INDEX($A$32:$J$44,MATCH($M129,$A$32:$A$44,0),MATCH(U$1,$A$1:$J$1,0))-INDEX($A$32:$J$44,MATCH($M129,$A$32:$A$44,0)-1,MATCH(U$1,$A$1:$J$1,0)))/12+U128)</f>
        <v>6</v>
      </c>
      <c r="V129" s="216" cm="1">
        <f t="array" ref="V129">IF($N129=12,INDEX($A$32:$J$44,MATCH($M129,$A$32:$A$44,0),MATCH(V$1,$A$1:$J$1,0)),(INDEX($A$32:$J$44,MATCH($M129,$A$32:$A$44,0),MATCH(V$1,$A$1:$J$1,0))-INDEX($A$32:$J$44,MATCH($M129,$A$32:$A$44,0)-1,MATCH(V$1,$A$1:$J$1,0)))/12+V128)</f>
        <v>15438.473652438523</v>
      </c>
      <c r="W129" s="216" cm="1">
        <f t="array" ref="W129">IF($N129=12,INDEX($A$32:$J$44,MATCH($M129,$A$32:$A$44,0),MATCH(W$1,$A$1:$J$1,0)),(INDEX($A$32:$J$44,MATCH($M129,$A$32:$A$44,0),MATCH(W$1,$A$1:$J$1,0))-INDEX($A$32:$J$44,MATCH($M129,$A$32:$A$44,0)-1,MATCH(W$1,$A$1:$J$1,0)))/12+W128)</f>
        <v>12434.330436007818</v>
      </c>
      <c r="X129" s="46">
        <f t="shared" si="24"/>
        <v>12490.330436007818</v>
      </c>
    </row>
    <row r="130" spans="12:24" x14ac:dyDescent="0.2">
      <c r="L130" s="214">
        <f>'Purchased Power Model'!A131</f>
        <v>44441</v>
      </c>
      <c r="M130" s="215">
        <f>'Purchased Power Model'!B131</f>
        <v>2021</v>
      </c>
      <c r="N130" s="215">
        <f>'Purchased Power Model'!C131</f>
        <v>9</v>
      </c>
      <c r="O130" s="216" cm="1">
        <f t="array" ref="O130">IF($N130=12,INDEX($A$32:$J$44,MATCH($M130,$A$32:$A$44,0),MATCH(O$1,$A$1:$J$1,0)),(INDEX($A$32:$J$44,MATCH($M130,$A$32:$A$44,0),MATCH(O$1,$A$1:$J$1,0))-INDEX($A$32:$J$44,MATCH($M130,$A$32:$A$44,0)-1,MATCH(O$1,$A$1:$J$1,0)))/12+O129)</f>
        <v>10936.525906686571</v>
      </c>
      <c r="P130" s="216" cm="1">
        <f t="array" ref="P130">IF($N130=12,INDEX($A$32:$J$44,MATCH($M130,$A$32:$A$44,0),MATCH(P$1,$A$1:$J$1,0)),(INDEX($A$32:$J$44,MATCH($M130,$A$32:$A$44,0),MATCH(P$1,$A$1:$J$1,0))-INDEX($A$32:$J$44,MATCH($M130,$A$32:$A$44,0)-1,MATCH(P$1,$A$1:$J$1,0)))/12+P129)</f>
        <v>1257.3824691685845</v>
      </c>
      <c r="Q130" s="216" cm="1">
        <f t="array" ref="Q130">IF($N130=12,INDEX($A$32:$J$44,MATCH($M130,$A$32:$A$44,0),MATCH(Q$1,$A$1:$J$1,0)),(INDEX($A$32:$J$44,MATCH($M130,$A$32:$A$44,0),MATCH(Q$1,$A$1:$J$1,0))-INDEX($A$32:$J$44,MATCH($M130,$A$32:$A$44,0)-1,MATCH(Q$1,$A$1:$J$1,0)))/12+Q129)</f>
        <v>98.213364653628417</v>
      </c>
      <c r="R130" s="216" cm="1">
        <f t="array" ref="R130">IF($N130=12,INDEX($A$32:$J$44,MATCH($M130,$A$32:$A$44,0),MATCH(R$1,$A$1:$J$1,0)),(INDEX($A$32:$J$44,MATCH($M130,$A$32:$A$44,0),MATCH(R$1,$A$1:$J$1,0))-INDEX($A$32:$J$44,MATCH($M130,$A$32:$A$44,0)-1,MATCH(R$1,$A$1:$J$1,0)))/12+R129)</f>
        <v>3102.6611184845506</v>
      </c>
      <c r="S130" s="216" cm="1">
        <f t="array" ref="S130">IF($N130=12,INDEX($A$32:$J$44,MATCH($M130,$A$32:$A$44,0),MATCH(S$1,$A$1:$J$1,0)),(INDEX($A$32:$J$44,MATCH($M130,$A$32:$A$44,0),MATCH(S$1,$A$1:$J$1,0))-INDEX($A$32:$J$44,MATCH($M130,$A$32:$A$44,0)-1,MATCH(S$1,$A$1:$J$1,0)))/12+S129)</f>
        <v>32</v>
      </c>
      <c r="T130" s="216" cm="1">
        <f t="array" ref="T130">IF($N130=12,INDEX($A$32:$J$44,MATCH($M130,$A$32:$A$44,0),MATCH(T$1,$A$1:$J$1,0)),(INDEX($A$32:$J$44,MATCH($M130,$A$32:$A$44,0),MATCH(T$1,$A$1:$J$1,0))-INDEX($A$32:$J$44,MATCH($M130,$A$32:$A$44,0)-1,MATCH(T$1,$A$1:$J$1,0)))/12+T129)</f>
        <v>17</v>
      </c>
      <c r="U130" s="216" cm="1">
        <f t="array" ref="U130">IF($N130=12,INDEX($A$32:$J$44,MATCH($M130,$A$32:$A$44,0),MATCH(U$1,$A$1:$J$1,0)),(INDEX($A$32:$J$44,MATCH($M130,$A$32:$A$44,0),MATCH(U$1,$A$1:$J$1,0))-INDEX($A$32:$J$44,MATCH($M130,$A$32:$A$44,0)-1,MATCH(U$1,$A$1:$J$1,0)))/12+U129)</f>
        <v>6</v>
      </c>
      <c r="V130" s="216" cm="1">
        <f t="array" ref="V130">IF($N130=12,INDEX($A$32:$J$44,MATCH($M130,$A$32:$A$44,0),MATCH(V$1,$A$1:$J$1,0)),(INDEX($A$32:$J$44,MATCH($M130,$A$32:$A$44,0),MATCH(V$1,$A$1:$J$1,0))-INDEX($A$32:$J$44,MATCH($M130,$A$32:$A$44,0)-1,MATCH(V$1,$A$1:$J$1,0)))/12+V129)</f>
        <v>15449.782858993338</v>
      </c>
      <c r="W130" s="216" cm="1">
        <f t="array" ref="W130">IF($N130=12,INDEX($A$32:$J$44,MATCH($M130,$A$32:$A$44,0),MATCH(W$1,$A$1:$J$1,0)),(INDEX($A$32:$J$44,MATCH($M130,$A$32:$A$44,0),MATCH(W$1,$A$1:$J$1,0))-INDEX($A$32:$J$44,MATCH($M130,$A$32:$A$44,0)-1,MATCH(W$1,$A$1:$J$1,0)))/12+W129)</f>
        <v>12443.121740508795</v>
      </c>
      <c r="X130" s="46">
        <f t="shared" si="24"/>
        <v>12499.121740508795</v>
      </c>
    </row>
    <row r="131" spans="12:24" x14ac:dyDescent="0.2">
      <c r="L131" s="214">
        <f>'Purchased Power Model'!A132</f>
        <v>44471</v>
      </c>
      <c r="M131" s="215">
        <f>'Purchased Power Model'!B132</f>
        <v>2021</v>
      </c>
      <c r="N131" s="215">
        <f>'Purchased Power Model'!C132</f>
        <v>10</v>
      </c>
      <c r="O131" s="216" cm="1">
        <f t="array" ref="O131">IF($N131=12,INDEX($A$32:$J$44,MATCH($M131,$A$32:$A$44,0),MATCH(O$1,$A$1:$J$1,0)),(INDEX($A$32:$J$44,MATCH($M131,$A$32:$A$44,0),MATCH(O$1,$A$1:$J$1,0))-INDEX($A$32:$J$44,MATCH($M131,$A$32:$A$44,0)-1,MATCH(O$1,$A$1:$J$1,0)))/12+O130)</f>
        <v>10944.806562985079</v>
      </c>
      <c r="P131" s="216" cm="1">
        <f t="array" ref="P131">IF($N131=12,INDEX($A$32:$J$44,MATCH($M131,$A$32:$A$44,0),MATCH(P$1,$A$1:$J$1,0)),(INDEX($A$32:$J$44,MATCH($M131,$A$32:$A$44,0),MATCH(P$1,$A$1:$J$1,0))-INDEX($A$32:$J$44,MATCH($M131,$A$32:$A$44,0)-1,MATCH(P$1,$A$1:$J$1,0)))/12+P130)</f>
        <v>1257.8694101873161</v>
      </c>
      <c r="Q131" s="216" cm="1">
        <f t="array" ref="Q131">IF($N131=12,INDEX($A$32:$J$44,MATCH($M131,$A$32:$A$44,0),MATCH(Q$1,$A$1:$J$1,0)),(INDEX($A$32:$J$44,MATCH($M131,$A$32:$A$44,0),MATCH(Q$1,$A$1:$J$1,0))-INDEX($A$32:$J$44,MATCH($M131,$A$32:$A$44,0)-1,MATCH(Q$1,$A$1:$J$1,0)))/12+Q130)</f>
        <v>98.237071837364908</v>
      </c>
      <c r="R131" s="216" cm="1">
        <f t="array" ref="R131">IF($N131=12,INDEX($A$32:$J$44,MATCH($M131,$A$32:$A$44,0),MATCH(R$1,$A$1:$J$1,0)),(INDEX($A$32:$J$44,MATCH($M131,$A$32:$A$44,0),MATCH(R$1,$A$1:$J$1,0))-INDEX($A$32:$J$44,MATCH($M131,$A$32:$A$44,0)-1,MATCH(R$1,$A$1:$J$1,0)))/12+R130)</f>
        <v>3105.1790205383895</v>
      </c>
      <c r="S131" s="216" cm="1">
        <f t="array" ref="S131">IF($N131=12,INDEX($A$32:$J$44,MATCH($M131,$A$32:$A$44,0),MATCH(S$1,$A$1:$J$1,0)),(INDEX($A$32:$J$44,MATCH($M131,$A$32:$A$44,0),MATCH(S$1,$A$1:$J$1,0))-INDEX($A$32:$J$44,MATCH($M131,$A$32:$A$44,0)-1,MATCH(S$1,$A$1:$J$1,0)))/12+S130)</f>
        <v>32</v>
      </c>
      <c r="T131" s="216" cm="1">
        <f t="array" ref="T131">IF($N131=12,INDEX($A$32:$J$44,MATCH($M131,$A$32:$A$44,0),MATCH(T$1,$A$1:$J$1,0)),(INDEX($A$32:$J$44,MATCH($M131,$A$32:$A$44,0),MATCH(T$1,$A$1:$J$1,0))-INDEX($A$32:$J$44,MATCH($M131,$A$32:$A$44,0)-1,MATCH(T$1,$A$1:$J$1,0)))/12+T130)</f>
        <v>17</v>
      </c>
      <c r="U131" s="216" cm="1">
        <f t="array" ref="U131">IF($N131=12,INDEX($A$32:$J$44,MATCH($M131,$A$32:$A$44,0),MATCH(U$1,$A$1:$J$1,0)),(INDEX($A$32:$J$44,MATCH($M131,$A$32:$A$44,0),MATCH(U$1,$A$1:$J$1,0))-INDEX($A$32:$J$44,MATCH($M131,$A$32:$A$44,0)-1,MATCH(U$1,$A$1:$J$1,0)))/12+U130)</f>
        <v>6</v>
      </c>
      <c r="V131" s="216" cm="1">
        <f t="array" ref="V131">IF($N131=12,INDEX($A$32:$J$44,MATCH($M131,$A$32:$A$44,0),MATCH(V$1,$A$1:$J$1,0)),(INDEX($A$32:$J$44,MATCH($M131,$A$32:$A$44,0),MATCH(V$1,$A$1:$J$1,0))-INDEX($A$32:$J$44,MATCH($M131,$A$32:$A$44,0)-1,MATCH(V$1,$A$1:$J$1,0)))/12+V130)</f>
        <v>15461.092065548153</v>
      </c>
      <c r="W131" s="216" cm="1">
        <f t="array" ref="W131">IF($N131=12,INDEX($A$32:$J$44,MATCH($M131,$A$32:$A$44,0),MATCH(W$1,$A$1:$J$1,0)),(INDEX($A$32:$J$44,MATCH($M131,$A$32:$A$44,0),MATCH(W$1,$A$1:$J$1,0))-INDEX($A$32:$J$44,MATCH($M131,$A$32:$A$44,0)-1,MATCH(W$1,$A$1:$J$1,0)))/12+W130)</f>
        <v>12451.913045009773</v>
      </c>
      <c r="X131" s="46">
        <f t="shared" si="24"/>
        <v>12507.913045009773</v>
      </c>
    </row>
    <row r="132" spans="12:24" x14ac:dyDescent="0.2">
      <c r="L132" s="214">
        <f>'Purchased Power Model'!A133</f>
        <v>44502</v>
      </c>
      <c r="M132" s="215">
        <f>'Purchased Power Model'!B133</f>
        <v>2021</v>
      </c>
      <c r="N132" s="215">
        <f>'Purchased Power Model'!C133</f>
        <v>11</v>
      </c>
      <c r="O132" s="216" cm="1">
        <f t="array" ref="O132">IF($N132=12,INDEX($A$32:$J$44,MATCH($M132,$A$32:$A$44,0),MATCH(O$1,$A$1:$J$1,0)),(INDEX($A$32:$J$44,MATCH($M132,$A$32:$A$44,0),MATCH(O$1,$A$1:$J$1,0))-INDEX($A$32:$J$44,MATCH($M132,$A$32:$A$44,0)-1,MATCH(O$1,$A$1:$J$1,0)))/12+O131)</f>
        <v>10953.087219283587</v>
      </c>
      <c r="P132" s="216" cm="1">
        <f t="array" ref="P132">IF($N132=12,INDEX($A$32:$J$44,MATCH($M132,$A$32:$A$44,0),MATCH(P$1,$A$1:$J$1,0)),(INDEX($A$32:$J$44,MATCH($M132,$A$32:$A$44,0),MATCH(P$1,$A$1:$J$1,0))-INDEX($A$32:$J$44,MATCH($M132,$A$32:$A$44,0)-1,MATCH(P$1,$A$1:$J$1,0)))/12+P131)</f>
        <v>1258.3563512060477</v>
      </c>
      <c r="Q132" s="216" cm="1">
        <f t="array" ref="Q132">IF($N132=12,INDEX($A$32:$J$44,MATCH($M132,$A$32:$A$44,0),MATCH(Q$1,$A$1:$J$1,0)),(INDEX($A$32:$J$44,MATCH($M132,$A$32:$A$44,0),MATCH(Q$1,$A$1:$J$1,0))-INDEX($A$32:$J$44,MATCH($M132,$A$32:$A$44,0)-1,MATCH(Q$1,$A$1:$J$1,0)))/12+Q131)</f>
        <v>98.260779021101399</v>
      </c>
      <c r="R132" s="216" cm="1">
        <f t="array" ref="R132">IF($N132=12,INDEX($A$32:$J$44,MATCH($M132,$A$32:$A$44,0),MATCH(R$1,$A$1:$J$1,0)),(INDEX($A$32:$J$44,MATCH($M132,$A$32:$A$44,0),MATCH(R$1,$A$1:$J$1,0))-INDEX($A$32:$J$44,MATCH($M132,$A$32:$A$44,0)-1,MATCH(R$1,$A$1:$J$1,0)))/12+R131)</f>
        <v>3107.6969225922285</v>
      </c>
      <c r="S132" s="216" cm="1">
        <f t="array" ref="S132">IF($N132=12,INDEX($A$32:$J$44,MATCH($M132,$A$32:$A$44,0),MATCH(S$1,$A$1:$J$1,0)),(INDEX($A$32:$J$44,MATCH($M132,$A$32:$A$44,0),MATCH(S$1,$A$1:$J$1,0))-INDEX($A$32:$J$44,MATCH($M132,$A$32:$A$44,0)-1,MATCH(S$1,$A$1:$J$1,0)))/12+S131)</f>
        <v>32</v>
      </c>
      <c r="T132" s="216" cm="1">
        <f t="array" ref="T132">IF($N132=12,INDEX($A$32:$J$44,MATCH($M132,$A$32:$A$44,0),MATCH(T$1,$A$1:$J$1,0)),(INDEX($A$32:$J$44,MATCH($M132,$A$32:$A$44,0),MATCH(T$1,$A$1:$J$1,0))-INDEX($A$32:$J$44,MATCH($M132,$A$32:$A$44,0)-1,MATCH(T$1,$A$1:$J$1,0)))/12+T131)</f>
        <v>17</v>
      </c>
      <c r="U132" s="216" cm="1">
        <f t="array" ref="U132">IF($N132=12,INDEX($A$32:$J$44,MATCH($M132,$A$32:$A$44,0),MATCH(U$1,$A$1:$J$1,0)),(INDEX($A$32:$J$44,MATCH($M132,$A$32:$A$44,0),MATCH(U$1,$A$1:$J$1,0))-INDEX($A$32:$J$44,MATCH($M132,$A$32:$A$44,0)-1,MATCH(U$1,$A$1:$J$1,0)))/12+U131)</f>
        <v>6</v>
      </c>
      <c r="V132" s="216" cm="1">
        <f t="array" ref="V132">IF($N132=12,INDEX($A$32:$J$44,MATCH($M132,$A$32:$A$44,0),MATCH(V$1,$A$1:$J$1,0)),(INDEX($A$32:$J$44,MATCH($M132,$A$32:$A$44,0),MATCH(V$1,$A$1:$J$1,0))-INDEX($A$32:$J$44,MATCH($M132,$A$32:$A$44,0)-1,MATCH(V$1,$A$1:$J$1,0)))/12+V131)</f>
        <v>15472.401272102969</v>
      </c>
      <c r="W132" s="216" cm="1">
        <f t="array" ref="W132">IF($N132=12,INDEX($A$32:$J$44,MATCH($M132,$A$32:$A$44,0),MATCH(W$1,$A$1:$J$1,0)),(INDEX($A$32:$J$44,MATCH($M132,$A$32:$A$44,0),MATCH(W$1,$A$1:$J$1,0))-INDEX($A$32:$J$44,MATCH($M132,$A$32:$A$44,0)-1,MATCH(W$1,$A$1:$J$1,0)))/12+W131)</f>
        <v>12460.70434951075</v>
      </c>
      <c r="X132" s="46">
        <f t="shared" si="24"/>
        <v>12516.70434951075</v>
      </c>
    </row>
    <row r="133" spans="12:24" x14ac:dyDescent="0.2">
      <c r="L133" s="214">
        <f>'Purchased Power Model'!A134</f>
        <v>44532</v>
      </c>
      <c r="M133" s="215">
        <f>'Purchased Power Model'!B134</f>
        <v>2021</v>
      </c>
      <c r="N133" s="215">
        <f>'Purchased Power Model'!C134</f>
        <v>12</v>
      </c>
      <c r="O133" s="216" cm="1">
        <f t="array" ref="O133">IF($N133=12,INDEX($A$32:$J$44,MATCH($M133,$A$32:$A$44,0),MATCH(O$1,$A$1:$J$1,0)),(INDEX($A$32:$J$44,MATCH($M133,$A$32:$A$44,0),MATCH(O$1,$A$1:$J$1,0))-INDEX($A$32:$J$44,MATCH($M133,$A$32:$A$44,0)-1,MATCH(O$1,$A$1:$J$1,0)))/12+O132)</f>
        <v>10961.3678755821</v>
      </c>
      <c r="P133" s="216" cm="1">
        <f t="array" ref="P133">IF($N133=12,INDEX($A$32:$J$44,MATCH($M133,$A$32:$A$44,0),MATCH(P$1,$A$1:$J$1,0)),(INDEX($A$32:$J$44,MATCH($M133,$A$32:$A$44,0),MATCH(P$1,$A$1:$J$1,0))-INDEX($A$32:$J$44,MATCH($M133,$A$32:$A$44,0)-1,MATCH(P$1,$A$1:$J$1,0)))/12+P132)</f>
        <v>1258.8432922247787</v>
      </c>
      <c r="Q133" s="216" cm="1">
        <f t="array" ref="Q133">IF($N133=12,INDEX($A$32:$J$44,MATCH($M133,$A$32:$A$44,0),MATCH(Q$1,$A$1:$J$1,0)),(INDEX($A$32:$J$44,MATCH($M133,$A$32:$A$44,0),MATCH(Q$1,$A$1:$J$1,0))-INDEX($A$32:$J$44,MATCH($M133,$A$32:$A$44,0)-1,MATCH(Q$1,$A$1:$J$1,0)))/12+Q132)</f>
        <v>98.284486204837805</v>
      </c>
      <c r="R133" s="216" cm="1">
        <f t="array" ref="R133">IF($N133=12,INDEX($A$32:$J$44,MATCH($M133,$A$32:$A$44,0),MATCH(R$1,$A$1:$J$1,0)),(INDEX($A$32:$J$44,MATCH($M133,$A$32:$A$44,0),MATCH(R$1,$A$1:$J$1,0))-INDEX($A$32:$J$44,MATCH($M133,$A$32:$A$44,0)-1,MATCH(R$1,$A$1:$J$1,0)))/12+R132)</f>
        <v>3110.2148246460679</v>
      </c>
      <c r="S133" s="216" cm="1">
        <f t="array" ref="S133">IF($N133=12,INDEX($A$32:$J$44,MATCH($M133,$A$32:$A$44,0),MATCH(S$1,$A$1:$J$1,0)),(INDEX($A$32:$J$44,MATCH($M133,$A$32:$A$44,0),MATCH(S$1,$A$1:$J$1,0))-INDEX($A$32:$J$44,MATCH($M133,$A$32:$A$44,0)-1,MATCH(S$1,$A$1:$J$1,0)))/12+S132)</f>
        <v>32</v>
      </c>
      <c r="T133" s="216" cm="1">
        <f t="array" ref="T133">IF($N133=12,INDEX($A$32:$J$44,MATCH($M133,$A$32:$A$44,0),MATCH(T$1,$A$1:$J$1,0)),(INDEX($A$32:$J$44,MATCH($M133,$A$32:$A$44,0),MATCH(T$1,$A$1:$J$1,0))-INDEX($A$32:$J$44,MATCH($M133,$A$32:$A$44,0)-1,MATCH(T$1,$A$1:$J$1,0)))/12+T132)</f>
        <v>17</v>
      </c>
      <c r="U133" s="216" cm="1">
        <f t="array" ref="U133">IF($N133=12,INDEX($A$32:$J$44,MATCH($M133,$A$32:$A$44,0),MATCH(U$1,$A$1:$J$1,0)),(INDEX($A$32:$J$44,MATCH($M133,$A$32:$A$44,0),MATCH(U$1,$A$1:$J$1,0))-INDEX($A$32:$J$44,MATCH($M133,$A$32:$A$44,0)-1,MATCH(U$1,$A$1:$J$1,0)))/12+U132)</f>
        <v>6</v>
      </c>
      <c r="V133" s="216" cm="1">
        <f t="array" ref="V133">IF($N133=12,INDEX($A$32:$J$44,MATCH($M133,$A$32:$A$44,0),MATCH(V$1,$A$1:$J$1,0)),(INDEX($A$32:$J$44,MATCH($M133,$A$32:$A$44,0),MATCH(V$1,$A$1:$J$1,0))-INDEX($A$32:$J$44,MATCH($M133,$A$32:$A$44,0)-1,MATCH(V$1,$A$1:$J$1,0)))/12+V132)</f>
        <v>15483.710478657786</v>
      </c>
      <c r="W133" s="216" cm="1">
        <f t="array" ref="W133">IF($N133=12,INDEX($A$32:$J$44,MATCH($M133,$A$32:$A$44,0),MATCH(W$1,$A$1:$J$1,0)),(INDEX($A$32:$J$44,MATCH($M133,$A$32:$A$44,0),MATCH(W$1,$A$1:$J$1,0))-INDEX($A$32:$J$44,MATCH($M133,$A$32:$A$44,0)-1,MATCH(W$1,$A$1:$J$1,0)))/12+W132)</f>
        <v>12469.495654011718</v>
      </c>
      <c r="X133" s="46">
        <f t="shared" si="24"/>
        <v>12525.495654011718</v>
      </c>
    </row>
    <row r="134" spans="12:24" x14ac:dyDescent="0.2">
      <c r="L134" s="214">
        <f>'Purchased Power Model'!A135</f>
        <v>44563</v>
      </c>
      <c r="M134" s="215">
        <f>'Purchased Power Model'!B135</f>
        <v>2022</v>
      </c>
      <c r="N134" s="215">
        <f>'Purchased Power Model'!C135</f>
        <v>1</v>
      </c>
      <c r="O134" s="216" cm="1">
        <f t="array" ref="O134">IF($N134=12,INDEX($A$32:$J$44,MATCH($M134,$A$32:$A$44,0),MATCH(O$1,$A$1:$J$1,0)),(INDEX($A$32:$J$44,MATCH($M134,$A$32:$A$44,0),MATCH(O$1,$A$1:$J$1,0))-INDEX($A$32:$J$44,MATCH($M134,$A$32:$A$44,0)-1,MATCH(O$1,$A$1:$J$1,0)))/12+O133)</f>
        <v>10969.724285077516</v>
      </c>
      <c r="P134" s="216" cm="1">
        <f t="array" ref="P134">IF($N134=12,INDEX($A$32:$J$44,MATCH($M134,$A$32:$A$44,0),MATCH(P$1,$A$1:$J$1,0)),(INDEX($A$32:$J$44,MATCH($M134,$A$32:$A$44,0),MATCH(P$1,$A$1:$J$1,0))-INDEX($A$32:$J$44,MATCH($M134,$A$32:$A$44,0)-1,MATCH(P$1,$A$1:$J$1,0)))/12+P133)</f>
        <v>1259.332504064475</v>
      </c>
      <c r="Q134" s="216" cm="1">
        <f t="array" ref="Q134">IF($N134=12,INDEX($A$32:$J$44,MATCH($M134,$A$32:$A$44,0),MATCH(Q$1,$A$1:$J$1,0)),(INDEX($A$32:$J$44,MATCH($M134,$A$32:$A$44,0),MATCH(Q$1,$A$1:$J$1,0))-INDEX($A$32:$J$44,MATCH($M134,$A$32:$A$44,0)-1,MATCH(Q$1,$A$1:$J$1,0)))/12+Q133)</f>
        <v>98.308262208642944</v>
      </c>
      <c r="R134" s="216" cm="1">
        <f t="array" ref="R134">IF($N134=12,INDEX($A$32:$J$44,MATCH($M134,$A$32:$A$44,0),MATCH(R$1,$A$1:$J$1,0)),(INDEX($A$32:$J$44,MATCH($M134,$A$32:$A$44,0),MATCH(R$1,$A$1:$J$1,0))-INDEX($A$32:$J$44,MATCH($M134,$A$32:$A$44,0)-1,MATCH(R$1,$A$1:$J$1,0)))/12+R133)</f>
        <v>3112.7574273392033</v>
      </c>
      <c r="S134" s="216" cm="1">
        <f t="array" ref="S134">IF($N134=12,INDEX($A$32:$J$44,MATCH($M134,$A$32:$A$44,0),MATCH(S$1,$A$1:$J$1,0)),(INDEX($A$32:$J$44,MATCH($M134,$A$32:$A$44,0),MATCH(S$1,$A$1:$J$1,0))-INDEX($A$32:$J$44,MATCH($M134,$A$32:$A$44,0)-1,MATCH(S$1,$A$1:$J$1,0)))/12+S133)</f>
        <v>32</v>
      </c>
      <c r="T134" s="216" cm="1">
        <f t="array" ref="T134">IF($N134=12,INDEX($A$32:$J$44,MATCH($M134,$A$32:$A$44,0),MATCH(T$1,$A$1:$J$1,0)),(INDEX($A$32:$J$44,MATCH($M134,$A$32:$A$44,0),MATCH(T$1,$A$1:$J$1,0))-INDEX($A$32:$J$44,MATCH($M134,$A$32:$A$44,0)-1,MATCH(T$1,$A$1:$J$1,0)))/12+T133)</f>
        <v>17</v>
      </c>
      <c r="U134" s="216" cm="1">
        <f t="array" ref="U134">IF($N134=12,INDEX($A$32:$J$44,MATCH($M134,$A$32:$A$44,0),MATCH(U$1,$A$1:$J$1,0)),(INDEX($A$32:$J$44,MATCH($M134,$A$32:$A$44,0),MATCH(U$1,$A$1:$J$1,0))-INDEX($A$32:$J$44,MATCH($M134,$A$32:$A$44,0)-1,MATCH(U$1,$A$1:$J$1,0)))/12+U133)</f>
        <v>6</v>
      </c>
      <c r="V134" s="216" cm="1">
        <f t="array" ref="V134">IF($N134=12,INDEX($A$32:$J$44,MATCH($M134,$A$32:$A$44,0),MATCH(V$1,$A$1:$J$1,0)),(INDEX($A$32:$J$44,MATCH($M134,$A$32:$A$44,0),MATCH(V$1,$A$1:$J$1,0))-INDEX($A$32:$J$44,MATCH($M134,$A$32:$A$44,0)-1,MATCH(V$1,$A$1:$J$1,0)))/12+V133)</f>
        <v>15495.122478689838</v>
      </c>
      <c r="W134" s="216" cm="1">
        <f t="array" ref="W134">IF($N134=12,INDEX($A$32:$J$44,MATCH($M134,$A$32:$A$44,0),MATCH(W$1,$A$1:$J$1,0)),(INDEX($A$32:$J$44,MATCH($M134,$A$32:$A$44,0),MATCH(W$1,$A$1:$J$1,0))-INDEX($A$32:$J$44,MATCH($M134,$A$32:$A$44,0)-1,MATCH(W$1,$A$1:$J$1,0)))/12+W133)</f>
        <v>12478.365051350635</v>
      </c>
      <c r="X134" s="46">
        <f t="shared" si="24"/>
        <v>12534.365051350635</v>
      </c>
    </row>
    <row r="135" spans="12:24" x14ac:dyDescent="0.2">
      <c r="L135" s="214">
        <f>'Purchased Power Model'!A136</f>
        <v>44594</v>
      </c>
      <c r="M135" s="215">
        <f>'Purchased Power Model'!B136</f>
        <v>2022</v>
      </c>
      <c r="N135" s="215">
        <f>'Purchased Power Model'!C136</f>
        <v>2</v>
      </c>
      <c r="O135" s="216" cm="1">
        <f t="array" ref="O135">IF($N135=12,INDEX($A$32:$J$44,MATCH($M135,$A$32:$A$44,0),MATCH(O$1,$A$1:$J$1,0)),(INDEX($A$32:$J$44,MATCH($M135,$A$32:$A$44,0),MATCH(O$1,$A$1:$J$1,0))-INDEX($A$32:$J$44,MATCH($M135,$A$32:$A$44,0)-1,MATCH(O$1,$A$1:$J$1,0)))/12+O134)</f>
        <v>10978.080694572933</v>
      </c>
      <c r="P135" s="216" cm="1">
        <f t="array" ref="P135">IF($N135=12,INDEX($A$32:$J$44,MATCH($M135,$A$32:$A$44,0),MATCH(P$1,$A$1:$J$1,0)),(INDEX($A$32:$J$44,MATCH($M135,$A$32:$A$44,0),MATCH(P$1,$A$1:$J$1,0))-INDEX($A$32:$J$44,MATCH($M135,$A$32:$A$44,0)-1,MATCH(P$1,$A$1:$J$1,0)))/12+P134)</f>
        <v>1259.8217159041712</v>
      </c>
      <c r="Q135" s="216" cm="1">
        <f t="array" ref="Q135">IF($N135=12,INDEX($A$32:$J$44,MATCH($M135,$A$32:$A$44,0),MATCH(Q$1,$A$1:$J$1,0)),(INDEX($A$32:$J$44,MATCH($M135,$A$32:$A$44,0),MATCH(Q$1,$A$1:$J$1,0))-INDEX($A$32:$J$44,MATCH($M135,$A$32:$A$44,0)-1,MATCH(Q$1,$A$1:$J$1,0)))/12+Q134)</f>
        <v>98.332038212448083</v>
      </c>
      <c r="R135" s="216" cm="1">
        <f t="array" ref="R135">IF($N135=12,INDEX($A$32:$J$44,MATCH($M135,$A$32:$A$44,0),MATCH(R$1,$A$1:$J$1,0)),(INDEX($A$32:$J$44,MATCH($M135,$A$32:$A$44,0),MATCH(R$1,$A$1:$J$1,0))-INDEX($A$32:$J$44,MATCH($M135,$A$32:$A$44,0)-1,MATCH(R$1,$A$1:$J$1,0)))/12+R134)</f>
        <v>3115.3000300323388</v>
      </c>
      <c r="S135" s="216" cm="1">
        <f t="array" ref="S135">IF($N135=12,INDEX($A$32:$J$44,MATCH($M135,$A$32:$A$44,0),MATCH(S$1,$A$1:$J$1,0)),(INDEX($A$32:$J$44,MATCH($M135,$A$32:$A$44,0),MATCH(S$1,$A$1:$J$1,0))-INDEX($A$32:$J$44,MATCH($M135,$A$32:$A$44,0)-1,MATCH(S$1,$A$1:$J$1,0)))/12+S134)</f>
        <v>32</v>
      </c>
      <c r="T135" s="216" cm="1">
        <f t="array" ref="T135">IF($N135=12,INDEX($A$32:$J$44,MATCH($M135,$A$32:$A$44,0),MATCH(T$1,$A$1:$J$1,0)),(INDEX($A$32:$J$44,MATCH($M135,$A$32:$A$44,0),MATCH(T$1,$A$1:$J$1,0))-INDEX($A$32:$J$44,MATCH($M135,$A$32:$A$44,0)-1,MATCH(T$1,$A$1:$J$1,0)))/12+T134)</f>
        <v>17</v>
      </c>
      <c r="U135" s="216" cm="1">
        <f t="array" ref="U135">IF($N135=12,INDEX($A$32:$J$44,MATCH($M135,$A$32:$A$44,0),MATCH(U$1,$A$1:$J$1,0)),(INDEX($A$32:$J$44,MATCH($M135,$A$32:$A$44,0),MATCH(U$1,$A$1:$J$1,0))-INDEX($A$32:$J$44,MATCH($M135,$A$32:$A$44,0)-1,MATCH(U$1,$A$1:$J$1,0)))/12+U134)</f>
        <v>6</v>
      </c>
      <c r="V135" s="216" cm="1">
        <f t="array" ref="V135">IF($N135=12,INDEX($A$32:$J$44,MATCH($M135,$A$32:$A$44,0),MATCH(V$1,$A$1:$J$1,0)),(INDEX($A$32:$J$44,MATCH($M135,$A$32:$A$44,0),MATCH(V$1,$A$1:$J$1,0))-INDEX($A$32:$J$44,MATCH($M135,$A$32:$A$44,0)-1,MATCH(V$1,$A$1:$J$1,0)))/12+V134)</f>
        <v>15506.534478721891</v>
      </c>
      <c r="W135" s="216" cm="1">
        <f t="array" ref="W135">IF($N135=12,INDEX($A$32:$J$44,MATCH($M135,$A$32:$A$44,0),MATCH(W$1,$A$1:$J$1,0)),(INDEX($A$32:$J$44,MATCH($M135,$A$32:$A$44,0),MATCH(W$1,$A$1:$J$1,0))-INDEX($A$32:$J$44,MATCH($M135,$A$32:$A$44,0)-1,MATCH(W$1,$A$1:$J$1,0)))/12+W134)</f>
        <v>12487.234448689551</v>
      </c>
      <c r="X135" s="46">
        <f t="shared" si="24"/>
        <v>12543.234448689551</v>
      </c>
    </row>
    <row r="136" spans="12:24" x14ac:dyDescent="0.2">
      <c r="L136" s="214">
        <f>'Purchased Power Model'!A137</f>
        <v>44623</v>
      </c>
      <c r="M136" s="215">
        <f>'Purchased Power Model'!B137</f>
        <v>2022</v>
      </c>
      <c r="N136" s="215">
        <f>'Purchased Power Model'!C137</f>
        <v>3</v>
      </c>
      <c r="O136" s="216" cm="1">
        <f t="array" ref="O136">IF($N136=12,INDEX($A$32:$J$44,MATCH($M136,$A$32:$A$44,0),MATCH(O$1,$A$1:$J$1,0)),(INDEX($A$32:$J$44,MATCH($M136,$A$32:$A$44,0),MATCH(O$1,$A$1:$J$1,0))-INDEX($A$32:$J$44,MATCH($M136,$A$32:$A$44,0)-1,MATCH(O$1,$A$1:$J$1,0)))/12+O135)</f>
        <v>10986.437104068349</v>
      </c>
      <c r="P136" s="216" cm="1">
        <f t="array" ref="P136">IF($N136=12,INDEX($A$32:$J$44,MATCH($M136,$A$32:$A$44,0),MATCH(P$1,$A$1:$J$1,0)),(INDEX($A$32:$J$44,MATCH($M136,$A$32:$A$44,0),MATCH(P$1,$A$1:$J$1,0))-INDEX($A$32:$J$44,MATCH($M136,$A$32:$A$44,0)-1,MATCH(P$1,$A$1:$J$1,0)))/12+P135)</f>
        <v>1260.3109277438675</v>
      </c>
      <c r="Q136" s="216" cm="1">
        <f t="array" ref="Q136">IF($N136=12,INDEX($A$32:$J$44,MATCH($M136,$A$32:$A$44,0),MATCH(Q$1,$A$1:$J$1,0)),(INDEX($A$32:$J$44,MATCH($M136,$A$32:$A$44,0),MATCH(Q$1,$A$1:$J$1,0))-INDEX($A$32:$J$44,MATCH($M136,$A$32:$A$44,0)-1,MATCH(Q$1,$A$1:$J$1,0)))/12+Q135)</f>
        <v>98.355814216253222</v>
      </c>
      <c r="R136" s="216" cm="1">
        <f t="array" ref="R136">IF($N136=12,INDEX($A$32:$J$44,MATCH($M136,$A$32:$A$44,0),MATCH(R$1,$A$1:$J$1,0)),(INDEX($A$32:$J$44,MATCH($M136,$A$32:$A$44,0),MATCH(R$1,$A$1:$J$1,0))-INDEX($A$32:$J$44,MATCH($M136,$A$32:$A$44,0)-1,MATCH(R$1,$A$1:$J$1,0)))/12+R135)</f>
        <v>3117.8426327254742</v>
      </c>
      <c r="S136" s="216" cm="1">
        <f t="array" ref="S136">IF($N136=12,INDEX($A$32:$J$44,MATCH($M136,$A$32:$A$44,0),MATCH(S$1,$A$1:$J$1,0)),(INDEX($A$32:$J$44,MATCH($M136,$A$32:$A$44,0),MATCH(S$1,$A$1:$J$1,0))-INDEX($A$32:$J$44,MATCH($M136,$A$32:$A$44,0)-1,MATCH(S$1,$A$1:$J$1,0)))/12+S135)</f>
        <v>32</v>
      </c>
      <c r="T136" s="216" cm="1">
        <f t="array" ref="T136">IF($N136=12,INDEX($A$32:$J$44,MATCH($M136,$A$32:$A$44,0),MATCH(T$1,$A$1:$J$1,0)),(INDEX($A$32:$J$44,MATCH($M136,$A$32:$A$44,0),MATCH(T$1,$A$1:$J$1,0))-INDEX($A$32:$J$44,MATCH($M136,$A$32:$A$44,0)-1,MATCH(T$1,$A$1:$J$1,0)))/12+T135)</f>
        <v>17</v>
      </c>
      <c r="U136" s="216" cm="1">
        <f t="array" ref="U136">IF($N136=12,INDEX($A$32:$J$44,MATCH($M136,$A$32:$A$44,0),MATCH(U$1,$A$1:$J$1,0)),(INDEX($A$32:$J$44,MATCH($M136,$A$32:$A$44,0),MATCH(U$1,$A$1:$J$1,0))-INDEX($A$32:$J$44,MATCH($M136,$A$32:$A$44,0)-1,MATCH(U$1,$A$1:$J$1,0)))/12+U135)</f>
        <v>6</v>
      </c>
      <c r="V136" s="216" cm="1">
        <f t="array" ref="V136">IF($N136=12,INDEX($A$32:$J$44,MATCH($M136,$A$32:$A$44,0),MATCH(V$1,$A$1:$J$1,0)),(INDEX($A$32:$J$44,MATCH($M136,$A$32:$A$44,0),MATCH(V$1,$A$1:$J$1,0))-INDEX($A$32:$J$44,MATCH($M136,$A$32:$A$44,0)-1,MATCH(V$1,$A$1:$J$1,0)))/12+V135)</f>
        <v>15517.946478753944</v>
      </c>
      <c r="W136" s="216" cm="1">
        <f t="array" ref="W136">IF($N136=12,INDEX($A$32:$J$44,MATCH($M136,$A$32:$A$44,0),MATCH(W$1,$A$1:$J$1,0)),(INDEX($A$32:$J$44,MATCH($M136,$A$32:$A$44,0),MATCH(W$1,$A$1:$J$1,0))-INDEX($A$32:$J$44,MATCH($M136,$A$32:$A$44,0)-1,MATCH(W$1,$A$1:$J$1,0)))/12+W135)</f>
        <v>12496.103846028467</v>
      </c>
      <c r="X136" s="46">
        <f t="shared" si="24"/>
        <v>12552.103846028467</v>
      </c>
    </row>
    <row r="137" spans="12:24" x14ac:dyDescent="0.2">
      <c r="L137" s="214">
        <f>'Purchased Power Model'!A138</f>
        <v>44654</v>
      </c>
      <c r="M137" s="215">
        <f>'Purchased Power Model'!B138</f>
        <v>2022</v>
      </c>
      <c r="N137" s="215">
        <f>'Purchased Power Model'!C138</f>
        <v>4</v>
      </c>
      <c r="O137" s="216" cm="1">
        <f t="array" ref="O137">IF($N137=12,INDEX($A$32:$J$44,MATCH($M137,$A$32:$A$44,0),MATCH(O$1,$A$1:$J$1,0)),(INDEX($A$32:$J$44,MATCH($M137,$A$32:$A$44,0),MATCH(O$1,$A$1:$J$1,0))-INDEX($A$32:$J$44,MATCH($M137,$A$32:$A$44,0)-1,MATCH(O$1,$A$1:$J$1,0)))/12+O136)</f>
        <v>10994.793513563765</v>
      </c>
      <c r="P137" s="216" cm="1">
        <f t="array" ref="P137">IF($N137=12,INDEX($A$32:$J$44,MATCH($M137,$A$32:$A$44,0),MATCH(P$1,$A$1:$J$1,0)),(INDEX($A$32:$J$44,MATCH($M137,$A$32:$A$44,0),MATCH(P$1,$A$1:$J$1,0))-INDEX($A$32:$J$44,MATCH($M137,$A$32:$A$44,0)-1,MATCH(P$1,$A$1:$J$1,0)))/12+P136)</f>
        <v>1260.8001395835638</v>
      </c>
      <c r="Q137" s="216" cm="1">
        <f t="array" ref="Q137">IF($N137=12,INDEX($A$32:$J$44,MATCH($M137,$A$32:$A$44,0),MATCH(Q$1,$A$1:$J$1,0)),(INDEX($A$32:$J$44,MATCH($M137,$A$32:$A$44,0),MATCH(Q$1,$A$1:$J$1,0))-INDEX($A$32:$J$44,MATCH($M137,$A$32:$A$44,0)-1,MATCH(Q$1,$A$1:$J$1,0)))/12+Q136)</f>
        <v>98.379590220058361</v>
      </c>
      <c r="R137" s="216" cm="1">
        <f t="array" ref="R137">IF($N137=12,INDEX($A$32:$J$44,MATCH($M137,$A$32:$A$44,0),MATCH(R$1,$A$1:$J$1,0)),(INDEX($A$32:$J$44,MATCH($M137,$A$32:$A$44,0),MATCH(R$1,$A$1:$J$1,0))-INDEX($A$32:$J$44,MATCH($M137,$A$32:$A$44,0)-1,MATCH(R$1,$A$1:$J$1,0)))/12+R136)</f>
        <v>3120.3852354186097</v>
      </c>
      <c r="S137" s="216" cm="1">
        <f t="array" ref="S137">IF($N137=12,INDEX($A$32:$J$44,MATCH($M137,$A$32:$A$44,0),MATCH(S$1,$A$1:$J$1,0)),(INDEX($A$32:$J$44,MATCH($M137,$A$32:$A$44,0),MATCH(S$1,$A$1:$J$1,0))-INDEX($A$32:$J$44,MATCH($M137,$A$32:$A$44,0)-1,MATCH(S$1,$A$1:$J$1,0)))/12+S136)</f>
        <v>32</v>
      </c>
      <c r="T137" s="216" cm="1">
        <f t="array" ref="T137">IF($N137=12,INDEX($A$32:$J$44,MATCH($M137,$A$32:$A$44,0),MATCH(T$1,$A$1:$J$1,0)),(INDEX($A$32:$J$44,MATCH($M137,$A$32:$A$44,0),MATCH(T$1,$A$1:$J$1,0))-INDEX($A$32:$J$44,MATCH($M137,$A$32:$A$44,0)-1,MATCH(T$1,$A$1:$J$1,0)))/12+T136)</f>
        <v>17</v>
      </c>
      <c r="U137" s="216" cm="1">
        <f t="array" ref="U137">IF($N137=12,INDEX($A$32:$J$44,MATCH($M137,$A$32:$A$44,0),MATCH(U$1,$A$1:$J$1,0)),(INDEX($A$32:$J$44,MATCH($M137,$A$32:$A$44,0),MATCH(U$1,$A$1:$J$1,0))-INDEX($A$32:$J$44,MATCH($M137,$A$32:$A$44,0)-1,MATCH(U$1,$A$1:$J$1,0)))/12+U136)</f>
        <v>6</v>
      </c>
      <c r="V137" s="216" cm="1">
        <f t="array" ref="V137">IF($N137=12,INDEX($A$32:$J$44,MATCH($M137,$A$32:$A$44,0),MATCH(V$1,$A$1:$J$1,0)),(INDEX($A$32:$J$44,MATCH($M137,$A$32:$A$44,0),MATCH(V$1,$A$1:$J$1,0))-INDEX($A$32:$J$44,MATCH($M137,$A$32:$A$44,0)-1,MATCH(V$1,$A$1:$J$1,0)))/12+V136)</f>
        <v>15529.358478785996</v>
      </c>
      <c r="W137" s="216" cm="1">
        <f t="array" ref="W137">IF($N137=12,INDEX($A$32:$J$44,MATCH($M137,$A$32:$A$44,0),MATCH(W$1,$A$1:$J$1,0)),(INDEX($A$32:$J$44,MATCH($M137,$A$32:$A$44,0),MATCH(W$1,$A$1:$J$1,0))-INDEX($A$32:$J$44,MATCH($M137,$A$32:$A$44,0)-1,MATCH(W$1,$A$1:$J$1,0)))/12+W136)</f>
        <v>12504.973243367383</v>
      </c>
      <c r="X137" s="46">
        <f t="shared" si="24"/>
        <v>12560.973243367383</v>
      </c>
    </row>
    <row r="138" spans="12:24" x14ac:dyDescent="0.2">
      <c r="L138" s="214">
        <f>'Purchased Power Model'!A139</f>
        <v>44684</v>
      </c>
      <c r="M138" s="215">
        <f>'Purchased Power Model'!B139</f>
        <v>2022</v>
      </c>
      <c r="N138" s="215">
        <f>'Purchased Power Model'!C139</f>
        <v>5</v>
      </c>
      <c r="O138" s="216" cm="1">
        <f t="array" ref="O138">IF($N138=12,INDEX($A$32:$J$44,MATCH($M138,$A$32:$A$44,0),MATCH(O$1,$A$1:$J$1,0)),(INDEX($A$32:$J$44,MATCH($M138,$A$32:$A$44,0),MATCH(O$1,$A$1:$J$1,0))-INDEX($A$32:$J$44,MATCH($M138,$A$32:$A$44,0)-1,MATCH(O$1,$A$1:$J$1,0)))/12+O137)</f>
        <v>11003.149923059182</v>
      </c>
      <c r="P138" s="216" cm="1">
        <f t="array" ref="P138">IF($N138=12,INDEX($A$32:$J$44,MATCH($M138,$A$32:$A$44,0),MATCH(P$1,$A$1:$J$1,0)),(INDEX($A$32:$J$44,MATCH($M138,$A$32:$A$44,0),MATCH(P$1,$A$1:$J$1,0))-INDEX($A$32:$J$44,MATCH($M138,$A$32:$A$44,0)-1,MATCH(P$1,$A$1:$J$1,0)))/12+P137)</f>
        <v>1261.2893514232601</v>
      </c>
      <c r="Q138" s="216" cm="1">
        <f t="array" ref="Q138">IF($N138=12,INDEX($A$32:$J$44,MATCH($M138,$A$32:$A$44,0),MATCH(Q$1,$A$1:$J$1,0)),(INDEX($A$32:$J$44,MATCH($M138,$A$32:$A$44,0),MATCH(Q$1,$A$1:$J$1,0))-INDEX($A$32:$J$44,MATCH($M138,$A$32:$A$44,0)-1,MATCH(Q$1,$A$1:$J$1,0)))/12+Q137)</f>
        <v>98.4033662238635</v>
      </c>
      <c r="R138" s="216" cm="1">
        <f t="array" ref="R138">IF($N138=12,INDEX($A$32:$J$44,MATCH($M138,$A$32:$A$44,0),MATCH(R$1,$A$1:$J$1,0)),(INDEX($A$32:$J$44,MATCH($M138,$A$32:$A$44,0),MATCH(R$1,$A$1:$J$1,0))-INDEX($A$32:$J$44,MATCH($M138,$A$32:$A$44,0)-1,MATCH(R$1,$A$1:$J$1,0)))/12+R137)</f>
        <v>3122.9278381117451</v>
      </c>
      <c r="S138" s="216" cm="1">
        <f t="array" ref="S138">IF($N138=12,INDEX($A$32:$J$44,MATCH($M138,$A$32:$A$44,0),MATCH(S$1,$A$1:$J$1,0)),(INDEX($A$32:$J$44,MATCH($M138,$A$32:$A$44,0),MATCH(S$1,$A$1:$J$1,0))-INDEX($A$32:$J$44,MATCH($M138,$A$32:$A$44,0)-1,MATCH(S$1,$A$1:$J$1,0)))/12+S137)</f>
        <v>32</v>
      </c>
      <c r="T138" s="216" cm="1">
        <f t="array" ref="T138">IF($N138=12,INDEX($A$32:$J$44,MATCH($M138,$A$32:$A$44,0),MATCH(T$1,$A$1:$J$1,0)),(INDEX($A$32:$J$44,MATCH($M138,$A$32:$A$44,0),MATCH(T$1,$A$1:$J$1,0))-INDEX($A$32:$J$44,MATCH($M138,$A$32:$A$44,0)-1,MATCH(T$1,$A$1:$J$1,0)))/12+T137)</f>
        <v>17</v>
      </c>
      <c r="U138" s="216" cm="1">
        <f t="array" ref="U138">IF($N138=12,INDEX($A$32:$J$44,MATCH($M138,$A$32:$A$44,0),MATCH(U$1,$A$1:$J$1,0)),(INDEX($A$32:$J$44,MATCH($M138,$A$32:$A$44,0),MATCH(U$1,$A$1:$J$1,0))-INDEX($A$32:$J$44,MATCH($M138,$A$32:$A$44,0)-1,MATCH(U$1,$A$1:$J$1,0)))/12+U137)</f>
        <v>6</v>
      </c>
      <c r="V138" s="216" cm="1">
        <f t="array" ref="V138">IF($N138=12,INDEX($A$32:$J$44,MATCH($M138,$A$32:$A$44,0),MATCH(V$1,$A$1:$J$1,0)),(INDEX($A$32:$J$44,MATCH($M138,$A$32:$A$44,0),MATCH(V$1,$A$1:$J$1,0))-INDEX($A$32:$J$44,MATCH($M138,$A$32:$A$44,0)-1,MATCH(V$1,$A$1:$J$1,0)))/12+V137)</f>
        <v>15540.770478818049</v>
      </c>
      <c r="W138" s="216" cm="1">
        <f t="array" ref="W138">IF($N138=12,INDEX($A$32:$J$44,MATCH($M138,$A$32:$A$44,0),MATCH(W$1,$A$1:$J$1,0)),(INDEX($A$32:$J$44,MATCH($M138,$A$32:$A$44,0),MATCH(W$1,$A$1:$J$1,0))-INDEX($A$32:$J$44,MATCH($M138,$A$32:$A$44,0)-1,MATCH(W$1,$A$1:$J$1,0)))/12+W137)</f>
        <v>12513.8426407063</v>
      </c>
      <c r="X138" s="46">
        <f t="shared" si="24"/>
        <v>12569.8426407063</v>
      </c>
    </row>
    <row r="139" spans="12:24" x14ac:dyDescent="0.2">
      <c r="L139" s="214">
        <f>'Purchased Power Model'!A140</f>
        <v>44715</v>
      </c>
      <c r="M139" s="215">
        <f>'Purchased Power Model'!B140</f>
        <v>2022</v>
      </c>
      <c r="N139" s="215">
        <f>'Purchased Power Model'!C140</f>
        <v>6</v>
      </c>
      <c r="O139" s="216" cm="1">
        <f t="array" ref="O139">IF($N139=12,INDEX($A$32:$J$44,MATCH($M139,$A$32:$A$44,0),MATCH(O$1,$A$1:$J$1,0)),(INDEX($A$32:$J$44,MATCH($M139,$A$32:$A$44,0),MATCH(O$1,$A$1:$J$1,0))-INDEX($A$32:$J$44,MATCH($M139,$A$32:$A$44,0)-1,MATCH(O$1,$A$1:$J$1,0)))/12+O138)</f>
        <v>11011.506332554598</v>
      </c>
      <c r="P139" s="216" cm="1">
        <f t="array" ref="P139">IF($N139=12,INDEX($A$32:$J$44,MATCH($M139,$A$32:$A$44,0),MATCH(P$1,$A$1:$J$1,0)),(INDEX($A$32:$J$44,MATCH($M139,$A$32:$A$44,0),MATCH(P$1,$A$1:$J$1,0))-INDEX($A$32:$J$44,MATCH($M139,$A$32:$A$44,0)-1,MATCH(P$1,$A$1:$J$1,0)))/12+P138)</f>
        <v>1261.7785632629564</v>
      </c>
      <c r="Q139" s="216" cm="1">
        <f t="array" ref="Q139">IF($N139=12,INDEX($A$32:$J$44,MATCH($M139,$A$32:$A$44,0),MATCH(Q$1,$A$1:$J$1,0)),(INDEX($A$32:$J$44,MATCH($M139,$A$32:$A$44,0),MATCH(Q$1,$A$1:$J$1,0))-INDEX($A$32:$J$44,MATCH($M139,$A$32:$A$44,0)-1,MATCH(Q$1,$A$1:$J$1,0)))/12+Q138)</f>
        <v>98.427142227668639</v>
      </c>
      <c r="R139" s="216" cm="1">
        <f t="array" ref="R139">IF($N139=12,INDEX($A$32:$J$44,MATCH($M139,$A$32:$A$44,0),MATCH(R$1,$A$1:$J$1,0)),(INDEX($A$32:$J$44,MATCH($M139,$A$32:$A$44,0),MATCH(R$1,$A$1:$J$1,0))-INDEX($A$32:$J$44,MATCH($M139,$A$32:$A$44,0)-1,MATCH(R$1,$A$1:$J$1,0)))/12+R138)</f>
        <v>3125.4704408048806</v>
      </c>
      <c r="S139" s="216" cm="1">
        <f t="array" ref="S139">IF($N139=12,INDEX($A$32:$J$44,MATCH($M139,$A$32:$A$44,0),MATCH(S$1,$A$1:$J$1,0)),(INDEX($A$32:$J$44,MATCH($M139,$A$32:$A$44,0),MATCH(S$1,$A$1:$J$1,0))-INDEX($A$32:$J$44,MATCH($M139,$A$32:$A$44,0)-1,MATCH(S$1,$A$1:$J$1,0)))/12+S138)</f>
        <v>32</v>
      </c>
      <c r="T139" s="216" cm="1">
        <f t="array" ref="T139">IF($N139=12,INDEX($A$32:$J$44,MATCH($M139,$A$32:$A$44,0),MATCH(T$1,$A$1:$J$1,0)),(INDEX($A$32:$J$44,MATCH($M139,$A$32:$A$44,0),MATCH(T$1,$A$1:$J$1,0))-INDEX($A$32:$J$44,MATCH($M139,$A$32:$A$44,0)-1,MATCH(T$1,$A$1:$J$1,0)))/12+T138)</f>
        <v>17</v>
      </c>
      <c r="U139" s="216" cm="1">
        <f t="array" ref="U139">IF($N139=12,INDEX($A$32:$J$44,MATCH($M139,$A$32:$A$44,0),MATCH(U$1,$A$1:$J$1,0)),(INDEX($A$32:$J$44,MATCH($M139,$A$32:$A$44,0),MATCH(U$1,$A$1:$J$1,0))-INDEX($A$32:$J$44,MATCH($M139,$A$32:$A$44,0)-1,MATCH(U$1,$A$1:$J$1,0)))/12+U138)</f>
        <v>6</v>
      </c>
      <c r="V139" s="216" cm="1">
        <f t="array" ref="V139">IF($N139=12,INDEX($A$32:$J$44,MATCH($M139,$A$32:$A$44,0),MATCH(V$1,$A$1:$J$1,0)),(INDEX($A$32:$J$44,MATCH($M139,$A$32:$A$44,0),MATCH(V$1,$A$1:$J$1,0))-INDEX($A$32:$J$44,MATCH($M139,$A$32:$A$44,0)-1,MATCH(V$1,$A$1:$J$1,0)))/12+V138)</f>
        <v>15552.182478850102</v>
      </c>
      <c r="W139" s="216" cm="1">
        <f t="array" ref="W139">IF($N139=12,INDEX($A$32:$J$44,MATCH($M139,$A$32:$A$44,0),MATCH(W$1,$A$1:$J$1,0)),(INDEX($A$32:$J$44,MATCH($M139,$A$32:$A$44,0),MATCH(W$1,$A$1:$J$1,0))-INDEX($A$32:$J$44,MATCH($M139,$A$32:$A$44,0)-1,MATCH(W$1,$A$1:$J$1,0)))/12+W138)</f>
        <v>12522.712038045216</v>
      </c>
      <c r="X139" s="46">
        <f t="shared" si="24"/>
        <v>12578.712038045216</v>
      </c>
    </row>
    <row r="140" spans="12:24" x14ac:dyDescent="0.2">
      <c r="L140" s="214">
        <f>'Purchased Power Model'!A141</f>
        <v>44745</v>
      </c>
      <c r="M140" s="215">
        <f>'Purchased Power Model'!B141</f>
        <v>2022</v>
      </c>
      <c r="N140" s="215">
        <f>'Purchased Power Model'!C141</f>
        <v>7</v>
      </c>
      <c r="O140" s="216" cm="1">
        <f t="array" ref="O140">IF($N140=12,INDEX($A$32:$J$44,MATCH($M140,$A$32:$A$44,0),MATCH(O$1,$A$1:$J$1,0)),(INDEX($A$32:$J$44,MATCH($M140,$A$32:$A$44,0),MATCH(O$1,$A$1:$J$1,0))-INDEX($A$32:$J$44,MATCH($M140,$A$32:$A$44,0)-1,MATCH(O$1,$A$1:$J$1,0)))/12+O139)</f>
        <v>11019.862742050014</v>
      </c>
      <c r="P140" s="216" cm="1">
        <f t="array" ref="P140">IF($N140=12,INDEX($A$32:$J$44,MATCH($M140,$A$32:$A$44,0),MATCH(P$1,$A$1:$J$1,0)),(INDEX($A$32:$J$44,MATCH($M140,$A$32:$A$44,0),MATCH(P$1,$A$1:$J$1,0))-INDEX($A$32:$J$44,MATCH($M140,$A$32:$A$44,0)-1,MATCH(P$1,$A$1:$J$1,0)))/12+P139)</f>
        <v>1262.2677751026526</v>
      </c>
      <c r="Q140" s="216" cm="1">
        <f t="array" ref="Q140">IF($N140=12,INDEX($A$32:$J$44,MATCH($M140,$A$32:$A$44,0),MATCH(Q$1,$A$1:$J$1,0)),(INDEX($A$32:$J$44,MATCH($M140,$A$32:$A$44,0),MATCH(Q$1,$A$1:$J$1,0))-INDEX($A$32:$J$44,MATCH($M140,$A$32:$A$44,0)-1,MATCH(Q$1,$A$1:$J$1,0)))/12+Q139)</f>
        <v>98.450918231473779</v>
      </c>
      <c r="R140" s="216" cm="1">
        <f t="array" ref="R140">IF($N140=12,INDEX($A$32:$J$44,MATCH($M140,$A$32:$A$44,0),MATCH(R$1,$A$1:$J$1,0)),(INDEX($A$32:$J$44,MATCH($M140,$A$32:$A$44,0),MATCH(R$1,$A$1:$J$1,0))-INDEX($A$32:$J$44,MATCH($M140,$A$32:$A$44,0)-1,MATCH(R$1,$A$1:$J$1,0)))/12+R139)</f>
        <v>3128.013043498016</v>
      </c>
      <c r="S140" s="216" cm="1">
        <f t="array" ref="S140">IF($N140=12,INDEX($A$32:$J$44,MATCH($M140,$A$32:$A$44,0),MATCH(S$1,$A$1:$J$1,0)),(INDEX($A$32:$J$44,MATCH($M140,$A$32:$A$44,0),MATCH(S$1,$A$1:$J$1,0))-INDEX($A$32:$J$44,MATCH($M140,$A$32:$A$44,0)-1,MATCH(S$1,$A$1:$J$1,0)))/12+S139)</f>
        <v>32</v>
      </c>
      <c r="T140" s="216" cm="1">
        <f t="array" ref="T140">IF($N140=12,INDEX($A$32:$J$44,MATCH($M140,$A$32:$A$44,0),MATCH(T$1,$A$1:$J$1,0)),(INDEX($A$32:$J$44,MATCH($M140,$A$32:$A$44,0),MATCH(T$1,$A$1:$J$1,0))-INDEX($A$32:$J$44,MATCH($M140,$A$32:$A$44,0)-1,MATCH(T$1,$A$1:$J$1,0)))/12+T139)</f>
        <v>17</v>
      </c>
      <c r="U140" s="216" cm="1">
        <f t="array" ref="U140">IF($N140=12,INDEX($A$32:$J$44,MATCH($M140,$A$32:$A$44,0),MATCH(U$1,$A$1:$J$1,0)),(INDEX($A$32:$J$44,MATCH($M140,$A$32:$A$44,0),MATCH(U$1,$A$1:$J$1,0))-INDEX($A$32:$J$44,MATCH($M140,$A$32:$A$44,0)-1,MATCH(U$1,$A$1:$J$1,0)))/12+U139)</f>
        <v>6</v>
      </c>
      <c r="V140" s="216" cm="1">
        <f t="array" ref="V140">IF($N140=12,INDEX($A$32:$J$44,MATCH($M140,$A$32:$A$44,0),MATCH(V$1,$A$1:$J$1,0)),(INDEX($A$32:$J$44,MATCH($M140,$A$32:$A$44,0),MATCH(V$1,$A$1:$J$1,0))-INDEX($A$32:$J$44,MATCH($M140,$A$32:$A$44,0)-1,MATCH(V$1,$A$1:$J$1,0)))/12+V139)</f>
        <v>15563.594478882154</v>
      </c>
      <c r="W140" s="216" cm="1">
        <f t="array" ref="W140">IF($N140=12,INDEX($A$32:$J$44,MATCH($M140,$A$32:$A$44,0),MATCH(W$1,$A$1:$J$1,0)),(INDEX($A$32:$J$44,MATCH($M140,$A$32:$A$44,0),MATCH(W$1,$A$1:$J$1,0))-INDEX($A$32:$J$44,MATCH($M140,$A$32:$A$44,0)-1,MATCH(W$1,$A$1:$J$1,0)))/12+W139)</f>
        <v>12531.581435384132</v>
      </c>
      <c r="X140" s="46">
        <f t="shared" si="24"/>
        <v>12587.581435384132</v>
      </c>
    </row>
    <row r="141" spans="12:24" x14ac:dyDescent="0.2">
      <c r="L141" s="214">
        <f>'Purchased Power Model'!A142</f>
        <v>44776</v>
      </c>
      <c r="M141" s="215">
        <f>'Purchased Power Model'!B142</f>
        <v>2022</v>
      </c>
      <c r="N141" s="215">
        <f>'Purchased Power Model'!C142</f>
        <v>8</v>
      </c>
      <c r="O141" s="216" cm="1">
        <f t="array" ref="O141">IF($N141=12,INDEX($A$32:$J$44,MATCH($M141,$A$32:$A$44,0),MATCH(O$1,$A$1:$J$1,0)),(INDEX($A$32:$J$44,MATCH($M141,$A$32:$A$44,0),MATCH(O$1,$A$1:$J$1,0))-INDEX($A$32:$J$44,MATCH($M141,$A$32:$A$44,0)-1,MATCH(O$1,$A$1:$J$1,0)))/12+O140)</f>
        <v>11028.219151545431</v>
      </c>
      <c r="P141" s="216" cm="1">
        <f t="array" ref="P141">IF($N141=12,INDEX($A$32:$J$44,MATCH($M141,$A$32:$A$44,0),MATCH(P$1,$A$1:$J$1,0)),(INDEX($A$32:$J$44,MATCH($M141,$A$32:$A$44,0),MATCH(P$1,$A$1:$J$1,0))-INDEX($A$32:$J$44,MATCH($M141,$A$32:$A$44,0)-1,MATCH(P$1,$A$1:$J$1,0)))/12+P140)</f>
        <v>1262.7569869423489</v>
      </c>
      <c r="Q141" s="216" cm="1">
        <f t="array" ref="Q141">IF($N141=12,INDEX($A$32:$J$44,MATCH($M141,$A$32:$A$44,0),MATCH(Q$1,$A$1:$J$1,0)),(INDEX($A$32:$J$44,MATCH($M141,$A$32:$A$44,0),MATCH(Q$1,$A$1:$J$1,0))-INDEX($A$32:$J$44,MATCH($M141,$A$32:$A$44,0)-1,MATCH(Q$1,$A$1:$J$1,0)))/12+Q140)</f>
        <v>98.474694235278918</v>
      </c>
      <c r="R141" s="216" cm="1">
        <f t="array" ref="R141">IF($N141=12,INDEX($A$32:$J$44,MATCH($M141,$A$32:$A$44,0),MATCH(R$1,$A$1:$J$1,0)),(INDEX($A$32:$J$44,MATCH($M141,$A$32:$A$44,0),MATCH(R$1,$A$1:$J$1,0))-INDEX($A$32:$J$44,MATCH($M141,$A$32:$A$44,0)-1,MATCH(R$1,$A$1:$J$1,0)))/12+R140)</f>
        <v>3130.5556461911515</v>
      </c>
      <c r="S141" s="216" cm="1">
        <f t="array" ref="S141">IF($N141=12,INDEX($A$32:$J$44,MATCH($M141,$A$32:$A$44,0),MATCH(S$1,$A$1:$J$1,0)),(INDEX($A$32:$J$44,MATCH($M141,$A$32:$A$44,0),MATCH(S$1,$A$1:$J$1,0))-INDEX($A$32:$J$44,MATCH($M141,$A$32:$A$44,0)-1,MATCH(S$1,$A$1:$J$1,0)))/12+S140)</f>
        <v>32</v>
      </c>
      <c r="T141" s="216" cm="1">
        <f t="array" ref="T141">IF($N141=12,INDEX($A$32:$J$44,MATCH($M141,$A$32:$A$44,0),MATCH(T$1,$A$1:$J$1,0)),(INDEX($A$32:$J$44,MATCH($M141,$A$32:$A$44,0),MATCH(T$1,$A$1:$J$1,0))-INDEX($A$32:$J$44,MATCH($M141,$A$32:$A$44,0)-1,MATCH(T$1,$A$1:$J$1,0)))/12+T140)</f>
        <v>17</v>
      </c>
      <c r="U141" s="216" cm="1">
        <f t="array" ref="U141">IF($N141=12,INDEX($A$32:$J$44,MATCH($M141,$A$32:$A$44,0),MATCH(U$1,$A$1:$J$1,0)),(INDEX($A$32:$J$44,MATCH($M141,$A$32:$A$44,0),MATCH(U$1,$A$1:$J$1,0))-INDEX($A$32:$J$44,MATCH($M141,$A$32:$A$44,0)-1,MATCH(U$1,$A$1:$J$1,0)))/12+U140)</f>
        <v>6</v>
      </c>
      <c r="V141" s="216" cm="1">
        <f t="array" ref="V141">IF($N141=12,INDEX($A$32:$J$44,MATCH($M141,$A$32:$A$44,0),MATCH(V$1,$A$1:$J$1,0)),(INDEX($A$32:$J$44,MATCH($M141,$A$32:$A$44,0),MATCH(V$1,$A$1:$J$1,0))-INDEX($A$32:$J$44,MATCH($M141,$A$32:$A$44,0)-1,MATCH(V$1,$A$1:$J$1,0)))/12+V140)</f>
        <v>15575.006478914207</v>
      </c>
      <c r="W141" s="216" cm="1">
        <f t="array" ref="W141">IF($N141=12,INDEX($A$32:$J$44,MATCH($M141,$A$32:$A$44,0),MATCH(W$1,$A$1:$J$1,0)),(INDEX($A$32:$J$44,MATCH($M141,$A$32:$A$44,0),MATCH(W$1,$A$1:$J$1,0))-INDEX($A$32:$J$44,MATCH($M141,$A$32:$A$44,0)-1,MATCH(W$1,$A$1:$J$1,0)))/12+W140)</f>
        <v>12540.450832723049</v>
      </c>
      <c r="X141" s="46">
        <f t="shared" si="24"/>
        <v>12596.450832723049</v>
      </c>
    </row>
    <row r="142" spans="12:24" x14ac:dyDescent="0.2">
      <c r="L142" s="214">
        <f>'Purchased Power Model'!A143</f>
        <v>44807</v>
      </c>
      <c r="M142" s="215">
        <f>'Purchased Power Model'!B143</f>
        <v>2022</v>
      </c>
      <c r="N142" s="215">
        <f>'Purchased Power Model'!C143</f>
        <v>9</v>
      </c>
      <c r="O142" s="216" cm="1">
        <f t="array" ref="O142">IF($N142=12,INDEX($A$32:$J$44,MATCH($M142,$A$32:$A$44,0),MATCH(O$1,$A$1:$J$1,0)),(INDEX($A$32:$J$44,MATCH($M142,$A$32:$A$44,0),MATCH(O$1,$A$1:$J$1,0))-INDEX($A$32:$J$44,MATCH($M142,$A$32:$A$44,0)-1,MATCH(O$1,$A$1:$J$1,0)))/12+O141)</f>
        <v>11036.575561040847</v>
      </c>
      <c r="P142" s="216" cm="1">
        <f t="array" ref="P142">IF($N142=12,INDEX($A$32:$J$44,MATCH($M142,$A$32:$A$44,0),MATCH(P$1,$A$1:$J$1,0)),(INDEX($A$32:$J$44,MATCH($M142,$A$32:$A$44,0),MATCH(P$1,$A$1:$J$1,0))-INDEX($A$32:$J$44,MATCH($M142,$A$32:$A$44,0)-1,MATCH(P$1,$A$1:$J$1,0)))/12+P141)</f>
        <v>1263.2461987820452</v>
      </c>
      <c r="Q142" s="216" cm="1">
        <f t="array" ref="Q142">IF($N142=12,INDEX($A$32:$J$44,MATCH($M142,$A$32:$A$44,0),MATCH(Q$1,$A$1:$J$1,0)),(INDEX($A$32:$J$44,MATCH($M142,$A$32:$A$44,0),MATCH(Q$1,$A$1:$J$1,0))-INDEX($A$32:$J$44,MATCH($M142,$A$32:$A$44,0)-1,MATCH(Q$1,$A$1:$J$1,0)))/12+Q141)</f>
        <v>98.498470239084057</v>
      </c>
      <c r="R142" s="216" cm="1">
        <f t="array" ref="R142">IF($N142=12,INDEX($A$32:$J$44,MATCH($M142,$A$32:$A$44,0),MATCH(R$1,$A$1:$J$1,0)),(INDEX($A$32:$J$44,MATCH($M142,$A$32:$A$44,0),MATCH(R$1,$A$1:$J$1,0))-INDEX($A$32:$J$44,MATCH($M142,$A$32:$A$44,0)-1,MATCH(R$1,$A$1:$J$1,0)))/12+R141)</f>
        <v>3133.0982488842869</v>
      </c>
      <c r="S142" s="216" cm="1">
        <f t="array" ref="S142">IF($N142=12,INDEX($A$32:$J$44,MATCH($M142,$A$32:$A$44,0),MATCH(S$1,$A$1:$J$1,0)),(INDEX($A$32:$J$44,MATCH($M142,$A$32:$A$44,0),MATCH(S$1,$A$1:$J$1,0))-INDEX($A$32:$J$44,MATCH($M142,$A$32:$A$44,0)-1,MATCH(S$1,$A$1:$J$1,0)))/12+S141)</f>
        <v>32</v>
      </c>
      <c r="T142" s="216" cm="1">
        <f t="array" ref="T142">IF($N142=12,INDEX($A$32:$J$44,MATCH($M142,$A$32:$A$44,0),MATCH(T$1,$A$1:$J$1,0)),(INDEX($A$32:$J$44,MATCH($M142,$A$32:$A$44,0),MATCH(T$1,$A$1:$J$1,0))-INDEX($A$32:$J$44,MATCH($M142,$A$32:$A$44,0)-1,MATCH(T$1,$A$1:$J$1,0)))/12+T141)</f>
        <v>17</v>
      </c>
      <c r="U142" s="216" cm="1">
        <f t="array" ref="U142">IF($N142=12,INDEX($A$32:$J$44,MATCH($M142,$A$32:$A$44,0),MATCH(U$1,$A$1:$J$1,0)),(INDEX($A$32:$J$44,MATCH($M142,$A$32:$A$44,0),MATCH(U$1,$A$1:$J$1,0))-INDEX($A$32:$J$44,MATCH($M142,$A$32:$A$44,0)-1,MATCH(U$1,$A$1:$J$1,0)))/12+U141)</f>
        <v>6</v>
      </c>
      <c r="V142" s="216" cm="1">
        <f t="array" ref="V142">IF($N142=12,INDEX($A$32:$J$44,MATCH($M142,$A$32:$A$44,0),MATCH(V$1,$A$1:$J$1,0)),(INDEX($A$32:$J$44,MATCH($M142,$A$32:$A$44,0),MATCH(V$1,$A$1:$J$1,0))-INDEX($A$32:$J$44,MATCH($M142,$A$32:$A$44,0)-1,MATCH(V$1,$A$1:$J$1,0)))/12+V141)</f>
        <v>15586.41847894626</v>
      </c>
      <c r="W142" s="216" cm="1">
        <f t="array" ref="W142">IF($N142=12,INDEX($A$32:$J$44,MATCH($M142,$A$32:$A$44,0),MATCH(W$1,$A$1:$J$1,0)),(INDEX($A$32:$J$44,MATCH($M142,$A$32:$A$44,0),MATCH(W$1,$A$1:$J$1,0))-INDEX($A$32:$J$44,MATCH($M142,$A$32:$A$44,0)-1,MATCH(W$1,$A$1:$J$1,0)))/12+W141)</f>
        <v>12549.320230061965</v>
      </c>
      <c r="X142" s="46">
        <f t="shared" si="24"/>
        <v>12605.320230061965</v>
      </c>
    </row>
    <row r="143" spans="12:24" x14ac:dyDescent="0.2">
      <c r="L143" s="214">
        <f>'Purchased Power Model'!A144</f>
        <v>44837</v>
      </c>
      <c r="M143" s="215">
        <f>'Purchased Power Model'!B144</f>
        <v>2022</v>
      </c>
      <c r="N143" s="215">
        <f>'Purchased Power Model'!C144</f>
        <v>10</v>
      </c>
      <c r="O143" s="216" cm="1">
        <f t="array" ref="O143">IF($N143=12,INDEX($A$32:$J$44,MATCH($M143,$A$32:$A$44,0),MATCH(O$1,$A$1:$J$1,0)),(INDEX($A$32:$J$44,MATCH($M143,$A$32:$A$44,0),MATCH(O$1,$A$1:$J$1,0))-INDEX($A$32:$J$44,MATCH($M143,$A$32:$A$44,0)-1,MATCH(O$1,$A$1:$J$1,0)))/12+O142)</f>
        <v>11044.931970536263</v>
      </c>
      <c r="P143" s="216" cm="1">
        <f t="array" ref="P143">IF($N143=12,INDEX($A$32:$J$44,MATCH($M143,$A$32:$A$44,0),MATCH(P$1,$A$1:$J$1,0)),(INDEX($A$32:$J$44,MATCH($M143,$A$32:$A$44,0),MATCH(P$1,$A$1:$J$1,0))-INDEX($A$32:$J$44,MATCH($M143,$A$32:$A$44,0)-1,MATCH(P$1,$A$1:$J$1,0)))/12+P142)</f>
        <v>1263.7354106217415</v>
      </c>
      <c r="Q143" s="216" cm="1">
        <f t="array" ref="Q143">IF($N143=12,INDEX($A$32:$J$44,MATCH($M143,$A$32:$A$44,0),MATCH(Q$1,$A$1:$J$1,0)),(INDEX($A$32:$J$44,MATCH($M143,$A$32:$A$44,0),MATCH(Q$1,$A$1:$J$1,0))-INDEX($A$32:$J$44,MATCH($M143,$A$32:$A$44,0)-1,MATCH(Q$1,$A$1:$J$1,0)))/12+Q142)</f>
        <v>98.522246242889196</v>
      </c>
      <c r="R143" s="216" cm="1">
        <f t="array" ref="R143">IF($N143=12,INDEX($A$32:$J$44,MATCH($M143,$A$32:$A$44,0),MATCH(R$1,$A$1:$J$1,0)),(INDEX($A$32:$J$44,MATCH($M143,$A$32:$A$44,0),MATCH(R$1,$A$1:$J$1,0))-INDEX($A$32:$J$44,MATCH($M143,$A$32:$A$44,0)-1,MATCH(R$1,$A$1:$J$1,0)))/12+R142)</f>
        <v>3135.6408515774224</v>
      </c>
      <c r="S143" s="216" cm="1">
        <f t="array" ref="S143">IF($N143=12,INDEX($A$32:$J$44,MATCH($M143,$A$32:$A$44,0),MATCH(S$1,$A$1:$J$1,0)),(INDEX($A$32:$J$44,MATCH($M143,$A$32:$A$44,0),MATCH(S$1,$A$1:$J$1,0))-INDEX($A$32:$J$44,MATCH($M143,$A$32:$A$44,0)-1,MATCH(S$1,$A$1:$J$1,0)))/12+S142)</f>
        <v>32</v>
      </c>
      <c r="T143" s="216" cm="1">
        <f t="array" ref="T143">IF($N143=12,INDEX($A$32:$J$44,MATCH($M143,$A$32:$A$44,0),MATCH(T$1,$A$1:$J$1,0)),(INDEX($A$32:$J$44,MATCH($M143,$A$32:$A$44,0),MATCH(T$1,$A$1:$J$1,0))-INDEX($A$32:$J$44,MATCH($M143,$A$32:$A$44,0)-1,MATCH(T$1,$A$1:$J$1,0)))/12+T142)</f>
        <v>17</v>
      </c>
      <c r="U143" s="216" cm="1">
        <f t="array" ref="U143">IF($N143=12,INDEX($A$32:$J$44,MATCH($M143,$A$32:$A$44,0),MATCH(U$1,$A$1:$J$1,0)),(INDEX($A$32:$J$44,MATCH($M143,$A$32:$A$44,0),MATCH(U$1,$A$1:$J$1,0))-INDEX($A$32:$J$44,MATCH($M143,$A$32:$A$44,0)-1,MATCH(U$1,$A$1:$J$1,0)))/12+U142)</f>
        <v>6</v>
      </c>
      <c r="V143" s="216" cm="1">
        <f t="array" ref="V143">IF($N143=12,INDEX($A$32:$J$44,MATCH($M143,$A$32:$A$44,0),MATCH(V$1,$A$1:$J$1,0)),(INDEX($A$32:$J$44,MATCH($M143,$A$32:$A$44,0),MATCH(V$1,$A$1:$J$1,0))-INDEX($A$32:$J$44,MATCH($M143,$A$32:$A$44,0)-1,MATCH(V$1,$A$1:$J$1,0)))/12+V142)</f>
        <v>15597.830478978312</v>
      </c>
      <c r="W143" s="216" cm="1">
        <f t="array" ref="W143">IF($N143=12,INDEX($A$32:$J$44,MATCH($M143,$A$32:$A$44,0),MATCH(W$1,$A$1:$J$1,0)),(INDEX($A$32:$J$44,MATCH($M143,$A$32:$A$44,0),MATCH(W$1,$A$1:$J$1,0))-INDEX($A$32:$J$44,MATCH($M143,$A$32:$A$44,0)-1,MATCH(W$1,$A$1:$J$1,0)))/12+W142)</f>
        <v>12558.189627400881</v>
      </c>
      <c r="X143" s="46">
        <f t="shared" si="24"/>
        <v>12614.189627400881</v>
      </c>
    </row>
    <row r="144" spans="12:24" x14ac:dyDescent="0.2">
      <c r="L144" s="214">
        <f>'Purchased Power Model'!A145</f>
        <v>44868</v>
      </c>
      <c r="M144" s="215">
        <f>'Purchased Power Model'!B145</f>
        <v>2022</v>
      </c>
      <c r="N144" s="215">
        <f>'Purchased Power Model'!C145</f>
        <v>11</v>
      </c>
      <c r="O144" s="216" cm="1">
        <f t="array" ref="O144">IF($N144=12,INDEX($A$32:$J$44,MATCH($M144,$A$32:$A$44,0),MATCH(O$1,$A$1:$J$1,0)),(INDEX($A$32:$J$44,MATCH($M144,$A$32:$A$44,0),MATCH(O$1,$A$1:$J$1,0))-INDEX($A$32:$J$44,MATCH($M144,$A$32:$A$44,0)-1,MATCH(O$1,$A$1:$J$1,0)))/12+O143)</f>
        <v>11053.288380031679</v>
      </c>
      <c r="P144" s="216" cm="1">
        <f t="array" ref="P144">IF($N144=12,INDEX($A$32:$J$44,MATCH($M144,$A$32:$A$44,0),MATCH(P$1,$A$1:$J$1,0)),(INDEX($A$32:$J$44,MATCH($M144,$A$32:$A$44,0),MATCH(P$1,$A$1:$J$1,0))-INDEX($A$32:$J$44,MATCH($M144,$A$32:$A$44,0)-1,MATCH(P$1,$A$1:$J$1,0)))/12+P143)</f>
        <v>1264.2246224614378</v>
      </c>
      <c r="Q144" s="216" cm="1">
        <f t="array" ref="Q144">IF($N144=12,INDEX($A$32:$J$44,MATCH($M144,$A$32:$A$44,0),MATCH(Q$1,$A$1:$J$1,0)),(INDEX($A$32:$J$44,MATCH($M144,$A$32:$A$44,0),MATCH(Q$1,$A$1:$J$1,0))-INDEX($A$32:$J$44,MATCH($M144,$A$32:$A$44,0)-1,MATCH(Q$1,$A$1:$J$1,0)))/12+Q143)</f>
        <v>98.546022246694335</v>
      </c>
      <c r="R144" s="216" cm="1">
        <f t="array" ref="R144">IF($N144=12,INDEX($A$32:$J$44,MATCH($M144,$A$32:$A$44,0),MATCH(R$1,$A$1:$J$1,0)),(INDEX($A$32:$J$44,MATCH($M144,$A$32:$A$44,0),MATCH(R$1,$A$1:$J$1,0))-INDEX($A$32:$J$44,MATCH($M144,$A$32:$A$44,0)-1,MATCH(R$1,$A$1:$J$1,0)))/12+R143)</f>
        <v>3138.1834542705578</v>
      </c>
      <c r="S144" s="216" cm="1">
        <f t="array" ref="S144">IF($N144=12,INDEX($A$32:$J$44,MATCH($M144,$A$32:$A$44,0),MATCH(S$1,$A$1:$J$1,0)),(INDEX($A$32:$J$44,MATCH($M144,$A$32:$A$44,0),MATCH(S$1,$A$1:$J$1,0))-INDEX($A$32:$J$44,MATCH($M144,$A$32:$A$44,0)-1,MATCH(S$1,$A$1:$J$1,0)))/12+S143)</f>
        <v>32</v>
      </c>
      <c r="T144" s="216" cm="1">
        <f t="array" ref="T144">IF($N144=12,INDEX($A$32:$J$44,MATCH($M144,$A$32:$A$44,0),MATCH(T$1,$A$1:$J$1,0)),(INDEX($A$32:$J$44,MATCH($M144,$A$32:$A$44,0),MATCH(T$1,$A$1:$J$1,0))-INDEX($A$32:$J$44,MATCH($M144,$A$32:$A$44,0)-1,MATCH(T$1,$A$1:$J$1,0)))/12+T143)</f>
        <v>17</v>
      </c>
      <c r="U144" s="216" cm="1">
        <f t="array" ref="U144">IF($N144=12,INDEX($A$32:$J$44,MATCH($M144,$A$32:$A$44,0),MATCH(U$1,$A$1:$J$1,0)),(INDEX($A$32:$J$44,MATCH($M144,$A$32:$A$44,0),MATCH(U$1,$A$1:$J$1,0))-INDEX($A$32:$J$44,MATCH($M144,$A$32:$A$44,0)-1,MATCH(U$1,$A$1:$J$1,0)))/12+U143)</f>
        <v>6</v>
      </c>
      <c r="V144" s="216" cm="1">
        <f t="array" ref="V144">IF($N144=12,INDEX($A$32:$J$44,MATCH($M144,$A$32:$A$44,0),MATCH(V$1,$A$1:$J$1,0)),(INDEX($A$32:$J$44,MATCH($M144,$A$32:$A$44,0),MATCH(V$1,$A$1:$J$1,0))-INDEX($A$32:$J$44,MATCH($M144,$A$32:$A$44,0)-1,MATCH(V$1,$A$1:$J$1,0)))/12+V143)</f>
        <v>15609.242479010365</v>
      </c>
      <c r="W144" s="216" cm="1">
        <f t="array" ref="W144">IF($N144=12,INDEX($A$32:$J$44,MATCH($M144,$A$32:$A$44,0),MATCH(W$1,$A$1:$J$1,0)),(INDEX($A$32:$J$44,MATCH($M144,$A$32:$A$44,0),MATCH(W$1,$A$1:$J$1,0))-INDEX($A$32:$J$44,MATCH($M144,$A$32:$A$44,0)-1,MATCH(W$1,$A$1:$J$1,0)))/12+W143)</f>
        <v>12567.059024739798</v>
      </c>
      <c r="X144" s="46">
        <f t="shared" si="24"/>
        <v>12623.059024739798</v>
      </c>
    </row>
    <row r="145" spans="12:24" x14ac:dyDescent="0.2">
      <c r="L145" s="214">
        <f>'Purchased Power Model'!A146</f>
        <v>44898</v>
      </c>
      <c r="M145" s="215">
        <f>'Purchased Power Model'!B146</f>
        <v>2022</v>
      </c>
      <c r="N145" s="215">
        <f>'Purchased Power Model'!C146</f>
        <v>12</v>
      </c>
      <c r="O145" s="216" cm="1">
        <f t="array" ref="O145">IF($N145=12,INDEX($A$32:$J$44,MATCH($M145,$A$32:$A$44,0),MATCH(O$1,$A$1:$J$1,0)),(INDEX($A$32:$J$44,MATCH($M145,$A$32:$A$44,0),MATCH(O$1,$A$1:$J$1,0))-INDEX($A$32:$J$44,MATCH($M145,$A$32:$A$44,0)-1,MATCH(O$1,$A$1:$J$1,0)))/12+O144)</f>
        <v>11061.644789527089</v>
      </c>
      <c r="P145" s="216" cm="1">
        <f t="array" ref="P145">IF($N145=12,INDEX($A$32:$J$44,MATCH($M145,$A$32:$A$44,0),MATCH(P$1,$A$1:$J$1,0)),(INDEX($A$32:$J$44,MATCH($M145,$A$32:$A$44,0),MATCH(P$1,$A$1:$J$1,0))-INDEX($A$32:$J$44,MATCH($M145,$A$32:$A$44,0)-1,MATCH(P$1,$A$1:$J$1,0)))/12+P144)</f>
        <v>1264.7138343011329</v>
      </c>
      <c r="Q145" s="216" cm="1">
        <f t="array" ref="Q145">IF($N145=12,INDEX($A$32:$J$44,MATCH($M145,$A$32:$A$44,0),MATCH(Q$1,$A$1:$J$1,0)),(INDEX($A$32:$J$44,MATCH($M145,$A$32:$A$44,0),MATCH(Q$1,$A$1:$J$1,0))-INDEX($A$32:$J$44,MATCH($M145,$A$32:$A$44,0)-1,MATCH(Q$1,$A$1:$J$1,0)))/12+Q144)</f>
        <v>98.569798250499517</v>
      </c>
      <c r="R145" s="216" cm="1">
        <f t="array" ref="R145">IF($N145=12,INDEX($A$32:$J$44,MATCH($M145,$A$32:$A$44,0),MATCH(R$1,$A$1:$J$1,0)),(INDEX($A$32:$J$44,MATCH($M145,$A$32:$A$44,0),MATCH(R$1,$A$1:$J$1,0))-INDEX($A$32:$J$44,MATCH($M145,$A$32:$A$44,0)-1,MATCH(R$1,$A$1:$J$1,0)))/12+R144)</f>
        <v>3140.7260569636919</v>
      </c>
      <c r="S145" s="216" cm="1">
        <f t="array" ref="S145">IF($N145=12,INDEX($A$32:$J$44,MATCH($M145,$A$32:$A$44,0),MATCH(S$1,$A$1:$J$1,0)),(INDEX($A$32:$J$44,MATCH($M145,$A$32:$A$44,0),MATCH(S$1,$A$1:$J$1,0))-INDEX($A$32:$J$44,MATCH($M145,$A$32:$A$44,0)-1,MATCH(S$1,$A$1:$J$1,0)))/12+S144)</f>
        <v>32</v>
      </c>
      <c r="T145" s="216" cm="1">
        <f t="array" ref="T145">IF($N145=12,INDEX($A$32:$J$44,MATCH($M145,$A$32:$A$44,0),MATCH(T$1,$A$1:$J$1,0)),(INDEX($A$32:$J$44,MATCH($M145,$A$32:$A$44,0),MATCH(T$1,$A$1:$J$1,0))-INDEX($A$32:$J$44,MATCH($M145,$A$32:$A$44,0)-1,MATCH(T$1,$A$1:$J$1,0)))/12+T144)</f>
        <v>17</v>
      </c>
      <c r="U145" s="216" cm="1">
        <f t="array" ref="U145">IF($N145=12,INDEX($A$32:$J$44,MATCH($M145,$A$32:$A$44,0),MATCH(U$1,$A$1:$J$1,0)),(INDEX($A$32:$J$44,MATCH($M145,$A$32:$A$44,0),MATCH(U$1,$A$1:$J$1,0))-INDEX($A$32:$J$44,MATCH($M145,$A$32:$A$44,0)-1,MATCH(U$1,$A$1:$J$1,0)))/12+U144)</f>
        <v>6</v>
      </c>
      <c r="V145" s="216" cm="1">
        <f t="array" ref="V145">IF($N145=12,INDEX($A$32:$J$44,MATCH($M145,$A$32:$A$44,0),MATCH(V$1,$A$1:$J$1,0)),(INDEX($A$32:$J$44,MATCH($M145,$A$32:$A$44,0),MATCH(V$1,$A$1:$J$1,0))-INDEX($A$32:$J$44,MATCH($M145,$A$32:$A$44,0)-1,MATCH(V$1,$A$1:$J$1,0)))/12+V144)</f>
        <v>15620.654479042412</v>
      </c>
      <c r="W145" s="216" cm="1">
        <f t="array" ref="W145">IF($N145=12,INDEX($A$32:$J$44,MATCH($M145,$A$32:$A$44,0),MATCH(W$1,$A$1:$J$1,0)),(INDEX($A$32:$J$44,MATCH($M145,$A$32:$A$44,0),MATCH(W$1,$A$1:$J$1,0))-INDEX($A$32:$J$44,MATCH($M145,$A$32:$A$44,0)-1,MATCH(W$1,$A$1:$J$1,0)))/12+W144)</f>
        <v>12575.928422078721</v>
      </c>
      <c r="X145" s="46">
        <f t="shared" si="24"/>
        <v>12631.928422078721</v>
      </c>
    </row>
    <row r="146" spans="12:24" x14ac:dyDescent="0.2">
      <c r="L146" s="211"/>
      <c r="M146" s="212"/>
      <c r="N146" s="212"/>
      <c r="O146" s="212"/>
      <c r="P146" s="212"/>
      <c r="Q146" s="212"/>
      <c r="R146" s="212"/>
      <c r="S146" s="212"/>
      <c r="T146" s="212"/>
      <c r="U146" s="212"/>
    </row>
    <row r="147" spans="12:24" x14ac:dyDescent="0.2">
      <c r="L147" s="211"/>
      <c r="M147" s="212"/>
      <c r="N147" s="212"/>
      <c r="O147" s="212"/>
      <c r="P147" s="212"/>
      <c r="Q147" s="212"/>
      <c r="R147" s="212"/>
      <c r="S147" s="212"/>
      <c r="T147" s="212"/>
      <c r="U147" s="212"/>
    </row>
    <row r="148" spans="12:24" x14ac:dyDescent="0.2">
      <c r="L148" s="211"/>
      <c r="M148" s="212"/>
      <c r="N148" s="212"/>
      <c r="O148" s="212"/>
      <c r="P148" s="212"/>
      <c r="Q148" s="212"/>
      <c r="R148" s="212"/>
      <c r="S148" s="212"/>
      <c r="T148" s="212"/>
      <c r="U148" s="212"/>
    </row>
    <row r="149" spans="12:24" x14ac:dyDescent="0.2">
      <c r="L149" s="211"/>
      <c r="M149" s="212"/>
      <c r="N149" s="212"/>
      <c r="O149" s="212"/>
      <c r="P149" s="212"/>
      <c r="Q149" s="212"/>
      <c r="R149" s="212"/>
      <c r="S149" s="212"/>
      <c r="T149" s="212"/>
      <c r="U149" s="212"/>
    </row>
    <row r="150" spans="12:24" x14ac:dyDescent="0.2">
      <c r="L150" s="211"/>
      <c r="M150" s="212"/>
      <c r="N150" s="212"/>
      <c r="O150" s="212"/>
      <c r="P150" s="212"/>
      <c r="Q150" s="212"/>
      <c r="R150" s="212"/>
      <c r="S150" s="212"/>
      <c r="T150" s="212"/>
      <c r="U150" s="212"/>
    </row>
    <row r="151" spans="12:24" x14ac:dyDescent="0.2">
      <c r="L151" s="211"/>
      <c r="M151" s="212"/>
      <c r="N151" s="212"/>
      <c r="O151" s="212"/>
      <c r="P151" s="212"/>
      <c r="Q151" s="212"/>
      <c r="R151" s="212"/>
      <c r="S151" s="212"/>
      <c r="T151" s="212"/>
      <c r="U151" s="212"/>
    </row>
    <row r="152" spans="12:24" x14ac:dyDescent="0.2">
      <c r="L152" s="211"/>
      <c r="M152" s="212"/>
      <c r="N152" s="212"/>
      <c r="O152" s="212"/>
      <c r="P152" s="212"/>
      <c r="Q152" s="212"/>
      <c r="R152" s="212"/>
      <c r="S152" s="212"/>
      <c r="T152" s="212"/>
      <c r="U152" s="212"/>
    </row>
    <row r="153" spans="12:24" x14ac:dyDescent="0.2">
      <c r="L153" s="211"/>
      <c r="M153" s="212"/>
      <c r="N153" s="212"/>
      <c r="O153" s="212"/>
      <c r="P153" s="212"/>
      <c r="Q153" s="212"/>
      <c r="R153" s="212"/>
      <c r="S153" s="212"/>
      <c r="T153" s="212"/>
      <c r="U153" s="212"/>
    </row>
    <row r="154" spans="12:24" x14ac:dyDescent="0.2">
      <c r="L154" s="211"/>
      <c r="M154" s="212"/>
      <c r="N154" s="212"/>
      <c r="O154" s="212"/>
      <c r="P154" s="212"/>
      <c r="Q154" s="212"/>
      <c r="R154" s="212"/>
      <c r="S154" s="212"/>
      <c r="T154" s="212"/>
      <c r="U154" s="212"/>
    </row>
    <row r="155" spans="12:24" x14ac:dyDescent="0.2">
      <c r="L155" s="211"/>
      <c r="M155" s="212"/>
      <c r="N155" s="212"/>
      <c r="O155" s="212"/>
      <c r="P155" s="212"/>
      <c r="Q155" s="212"/>
      <c r="R155" s="212"/>
      <c r="S155" s="212"/>
      <c r="T155" s="212"/>
      <c r="U155" s="212"/>
    </row>
    <row r="156" spans="12:24" x14ac:dyDescent="0.2">
      <c r="L156" s="211"/>
      <c r="M156" s="212"/>
      <c r="N156" s="212"/>
      <c r="O156" s="212"/>
      <c r="P156" s="212"/>
      <c r="Q156" s="212"/>
      <c r="R156" s="212"/>
      <c r="S156" s="212"/>
      <c r="T156" s="212"/>
      <c r="U156" s="212"/>
    </row>
    <row r="157" spans="12:24" x14ac:dyDescent="0.2">
      <c r="L157" s="211"/>
      <c r="M157" s="212"/>
      <c r="N157" s="212"/>
      <c r="O157" s="212"/>
      <c r="P157" s="212"/>
      <c r="Q157" s="212"/>
      <c r="R157" s="212"/>
      <c r="S157" s="212"/>
      <c r="T157" s="212"/>
      <c r="U157" s="212"/>
    </row>
    <row r="158" spans="12:24" x14ac:dyDescent="0.2">
      <c r="L158" s="211"/>
      <c r="M158" s="212"/>
      <c r="N158" s="212"/>
      <c r="O158" s="212"/>
      <c r="P158" s="212"/>
      <c r="Q158" s="212"/>
      <c r="R158" s="212"/>
      <c r="S158" s="212"/>
      <c r="T158" s="212"/>
      <c r="U158" s="212"/>
    </row>
    <row r="159" spans="12:24" x14ac:dyDescent="0.2">
      <c r="L159" s="211"/>
      <c r="M159" s="212"/>
      <c r="N159" s="212"/>
      <c r="O159" s="212"/>
      <c r="P159" s="212"/>
      <c r="Q159" s="212"/>
      <c r="R159" s="212"/>
      <c r="S159" s="212"/>
      <c r="T159" s="212"/>
      <c r="U159" s="212"/>
    </row>
    <row r="160" spans="12:24" x14ac:dyDescent="0.2">
      <c r="L160" s="211"/>
      <c r="M160" s="212"/>
      <c r="N160" s="212"/>
      <c r="O160" s="212"/>
      <c r="P160" s="212"/>
      <c r="Q160" s="212"/>
      <c r="R160" s="212"/>
      <c r="S160" s="212"/>
      <c r="T160" s="212"/>
      <c r="U160" s="212"/>
    </row>
    <row r="161" spans="12:21" x14ac:dyDescent="0.2">
      <c r="L161" s="211"/>
      <c r="M161" s="212"/>
      <c r="N161" s="212"/>
      <c r="O161" s="212"/>
      <c r="P161" s="212"/>
      <c r="Q161" s="212"/>
      <c r="R161" s="212"/>
      <c r="S161" s="212"/>
      <c r="T161" s="212"/>
      <c r="U161" s="212"/>
    </row>
    <row r="162" spans="12:21" x14ac:dyDescent="0.2">
      <c r="L162" s="211"/>
      <c r="M162" s="212"/>
      <c r="N162" s="212"/>
      <c r="O162" s="212"/>
      <c r="P162" s="212"/>
      <c r="Q162" s="212"/>
      <c r="R162" s="212"/>
      <c r="S162" s="212"/>
      <c r="T162" s="212"/>
      <c r="U162" s="212"/>
    </row>
    <row r="163" spans="12:21" x14ac:dyDescent="0.2">
      <c r="L163" s="211"/>
      <c r="M163" s="212"/>
      <c r="N163" s="212"/>
      <c r="O163" s="212"/>
      <c r="P163" s="212"/>
      <c r="Q163" s="212"/>
      <c r="R163" s="212"/>
      <c r="S163" s="212"/>
      <c r="T163" s="212"/>
      <c r="U163" s="212"/>
    </row>
    <row r="164" spans="12:21" x14ac:dyDescent="0.2">
      <c r="L164" s="211"/>
      <c r="M164" s="212"/>
      <c r="N164" s="212"/>
      <c r="O164" s="212"/>
      <c r="P164" s="212"/>
      <c r="Q164" s="212"/>
      <c r="R164" s="212"/>
      <c r="S164" s="212"/>
      <c r="T164" s="212"/>
      <c r="U164" s="212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FBFF-E972-4CC5-BD76-F3CB66142197}">
  <sheetPr codeName="Sheet4">
    <pageSetUpPr fitToPage="1"/>
  </sheetPr>
  <dimension ref="A1:AE197"/>
  <sheetViews>
    <sheetView zoomScale="98" zoomScaleNormal="98" workbookViewId="0">
      <selection activeCell="M1" sqref="M1:O1048576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9" width="13.42578125" style="52" customWidth="1"/>
    <col min="10" max="10" width="11.5703125" style="52" customWidth="1"/>
    <col min="11" max="11" width="12.42578125" style="52" customWidth="1"/>
    <col min="12" max="12" width="14.42578125" style="61" customWidth="1"/>
    <col min="13" max="13" width="14.42578125" style="51" hidden="1" customWidth="1"/>
    <col min="14" max="15" width="12.42578125" style="52" hidden="1" customWidth="1"/>
    <col min="16" max="16" width="15.5703125" style="52" customWidth="1"/>
    <col min="17" max="17" width="15.42578125" style="52" bestFit="1" customWidth="1"/>
    <col min="18" max="18" width="15.42578125" style="52" customWidth="1"/>
    <col min="19" max="19" width="25.85546875" style="69" bestFit="1" customWidth="1"/>
    <col min="20" max="20" width="27.5703125" customWidth="1"/>
    <col min="21" max="21" width="20.7109375" customWidth="1"/>
    <col min="22" max="22" width="17.140625" customWidth="1"/>
    <col min="23" max="24" width="15.7109375" customWidth="1"/>
    <col min="25" max="25" width="15" customWidth="1"/>
    <col min="26" max="26" width="12.5703125" customWidth="1"/>
    <col min="27" max="27" width="11.28515625" customWidth="1"/>
    <col min="28" max="28" width="11.140625" bestFit="1" customWidth="1"/>
    <col min="29" max="29" width="11.7109375" bestFit="1" customWidth="1"/>
    <col min="30" max="30" width="10.7109375" bestFit="1" customWidth="1"/>
    <col min="31" max="31" width="11.140625" bestFit="1" customWidth="1"/>
  </cols>
  <sheetData>
    <row r="1" spans="1:26" x14ac:dyDescent="0.2">
      <c r="F1" s="51"/>
      <c r="G1" s="51"/>
      <c r="H1" s="51"/>
      <c r="I1" s="51"/>
      <c r="J1" s="51"/>
      <c r="K1" s="51"/>
      <c r="L1" s="51"/>
      <c r="N1" s="51"/>
      <c r="O1" s="51"/>
      <c r="P1" s="51"/>
    </row>
    <row r="2" spans="1:26" ht="42" customHeight="1" x14ac:dyDescent="0.2">
      <c r="A2" s="95"/>
      <c r="B2" s="95"/>
      <c r="C2" s="95"/>
      <c r="D2" s="192" t="str">
        <f>Data!D1</f>
        <v>Purchases</v>
      </c>
      <c r="E2" s="192" t="str">
        <f>Data!E1</f>
        <v>Embedded</v>
      </c>
      <c r="F2" s="193" t="str">
        <f>Data!F1</f>
        <v>CDM</v>
      </c>
      <c r="G2" s="193" t="s">
        <v>183</v>
      </c>
      <c r="H2" s="194" t="str">
        <f>Data!U1</f>
        <v>HDD18</v>
      </c>
      <c r="I2" s="194" t="str">
        <f>Data!X1</f>
        <v>CDD16</v>
      </c>
      <c r="J2" s="194" t="str">
        <f>Data!AG1</f>
        <v>MonthDays</v>
      </c>
      <c r="K2" s="194" t="str">
        <f>Data!AU1</f>
        <v>Spring</v>
      </c>
      <c r="L2" s="195" t="str">
        <f>Data!M1</f>
        <v>GDP_Index</v>
      </c>
      <c r="M2" s="194" t="str">
        <f>Data!AX1</f>
        <v>Trend</v>
      </c>
      <c r="N2" s="194" t="s">
        <v>35</v>
      </c>
      <c r="O2" s="194" t="s">
        <v>3</v>
      </c>
      <c r="P2" s="194" t="s">
        <v>187</v>
      </c>
      <c r="Q2" s="10" t="s">
        <v>8</v>
      </c>
      <c r="R2" s="10" t="s">
        <v>78</v>
      </c>
      <c r="S2" s="52"/>
      <c r="T2" s="50"/>
      <c r="U2" s="50"/>
      <c r="V2" s="50"/>
      <c r="W2" s="50"/>
      <c r="X2" s="50"/>
      <c r="Y2" s="50"/>
      <c r="Z2" s="50"/>
    </row>
    <row r="3" spans="1:26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6">
        <f>Data!D2</f>
        <v>23397084.615384616</v>
      </c>
      <c r="E3" s="186">
        <f>Data!E2</f>
        <v>5500808.8137999997</v>
      </c>
      <c r="F3" s="185">
        <f ca="1">Data!F2</f>
        <v>3429.6163502514</v>
      </c>
      <c r="G3" s="185">
        <f ca="1">D3+F3</f>
        <v>23400514.231734868</v>
      </c>
      <c r="H3" s="196">
        <f>Data!U2</f>
        <v>730.89999999999986</v>
      </c>
      <c r="I3" s="187">
        <f>Data!X2</f>
        <v>0</v>
      </c>
      <c r="J3" s="187">
        <f>Data!AG2</f>
        <v>31</v>
      </c>
      <c r="K3" s="187">
        <f>Data!AU2</f>
        <v>0</v>
      </c>
      <c r="L3" s="188">
        <f>Data!M2</f>
        <v>137.72782792395429</v>
      </c>
      <c r="M3" s="187">
        <f>Data!AX2</f>
        <v>1</v>
      </c>
      <c r="N3" s="189">
        <f>Data!K2</f>
        <v>11342.75</v>
      </c>
      <c r="O3" s="190"/>
      <c r="P3" s="190">
        <f>$T$17+H3*$T$18+I3*$T$19+J3*$T$20+K3*$T$21+$T$22*L3</f>
        <v>23319726.166035872</v>
      </c>
      <c r="Q3" s="92">
        <f ca="1">P3-G3</f>
        <v>-80788.065698996186</v>
      </c>
      <c r="R3" s="93">
        <f t="shared" ref="R3:R66" ca="1" si="1">ABS(Q3/D3)</f>
        <v>3.4529116352331551E-3</v>
      </c>
      <c r="S3" s="249"/>
      <c r="T3" s="249"/>
      <c r="U3" s="50"/>
      <c r="V3" s="50"/>
      <c r="W3" s="50"/>
      <c r="X3" s="50"/>
      <c r="Y3" s="50"/>
      <c r="Z3" s="50"/>
    </row>
    <row r="4" spans="1:26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6">
        <f>Data!D3</f>
        <v>20570361.53846154</v>
      </c>
      <c r="E4" s="186">
        <f>Data!E3</f>
        <v>5684569.301</v>
      </c>
      <c r="F4" s="185">
        <f ca="1">Data!F3</f>
        <v>6859.2327005028001</v>
      </c>
      <c r="G4" s="185">
        <f t="shared" ref="G4:G67" ca="1" si="3">D4+F4</f>
        <v>20577220.771162044</v>
      </c>
      <c r="H4" s="196">
        <f>Data!U3</f>
        <v>614.6</v>
      </c>
      <c r="I4" s="187">
        <f>Data!X3</f>
        <v>0</v>
      </c>
      <c r="J4" s="187">
        <f>Data!AG3</f>
        <v>28</v>
      </c>
      <c r="K4" s="187">
        <f>Data!AU3</f>
        <v>0</v>
      </c>
      <c r="L4" s="188">
        <f>Data!M3</f>
        <v>138.03145074637808</v>
      </c>
      <c r="M4" s="187">
        <f>Data!AX3</f>
        <v>2</v>
      </c>
      <c r="N4" s="189">
        <f>Data!K3</f>
        <v>11350.5</v>
      </c>
      <c r="O4" s="190"/>
      <c r="P4" s="190">
        <f t="shared" ref="P4:P67" si="4">$T$17+H4*$T$18+I4*$T$19+J4*$T$20+K4*$T$21+$T$22*L4</f>
        <v>20602072.726497032</v>
      </c>
      <c r="Q4" s="92">
        <f t="shared" ref="Q4:Q67" ca="1" si="5">P4-G4</f>
        <v>24851.955334987491</v>
      </c>
      <c r="R4" s="93">
        <f t="shared" ca="1" si="1"/>
        <v>1.2081438281247715E-3</v>
      </c>
      <c r="S4" s="25"/>
      <c r="T4" s="76"/>
      <c r="U4" s="50"/>
      <c r="V4" s="50"/>
      <c r="W4" s="50"/>
      <c r="X4" s="50"/>
      <c r="Y4" s="50"/>
      <c r="Z4" s="50"/>
    </row>
    <row r="5" spans="1:26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6">
        <f>Data!D4</f>
        <v>21011815.384615388</v>
      </c>
      <c r="E5" s="186">
        <f>Data!E4</f>
        <v>4907120.8032</v>
      </c>
      <c r="F5" s="185">
        <f ca="1">Data!F4</f>
        <v>10288.849050754201</v>
      </c>
      <c r="G5" s="185">
        <f t="shared" ca="1" si="3"/>
        <v>21022104.233666141</v>
      </c>
      <c r="H5" s="196">
        <f>Data!U4</f>
        <v>520.09999999999991</v>
      </c>
      <c r="I5" s="187">
        <f>Data!X4</f>
        <v>0</v>
      </c>
      <c r="J5" s="187">
        <f>Data!AG4</f>
        <v>31</v>
      </c>
      <c r="K5" s="187">
        <f>Data!AU4</f>
        <v>1</v>
      </c>
      <c r="L5" s="188">
        <f>Data!M4</f>
        <v>138.33507356880187</v>
      </c>
      <c r="M5" s="187">
        <f>Data!AX4</f>
        <v>3</v>
      </c>
      <c r="N5" s="189">
        <f>Data!K4</f>
        <v>11358.25</v>
      </c>
      <c r="O5" s="190"/>
      <c r="P5" s="190">
        <f>$T$17+H5*$T$18+I5*$T$19+J5*$T$20+K5*$T$21+$T$22*L5</f>
        <v>20400069.38202247</v>
      </c>
      <c r="Q5" s="92">
        <f t="shared" ca="1" si="5"/>
        <v>-622034.85164367035</v>
      </c>
      <c r="R5" s="93">
        <f t="shared" ca="1" si="1"/>
        <v>2.9604050876018889E-2</v>
      </c>
      <c r="S5" s="25"/>
      <c r="T5" s="76"/>
      <c r="U5" s="50"/>
      <c r="V5" s="50"/>
      <c r="W5" s="50"/>
      <c r="X5" s="50"/>
      <c r="Y5" s="50"/>
      <c r="Z5" s="50"/>
    </row>
    <row r="6" spans="1:26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6">
        <f>Data!D5</f>
        <v>18252353.846153848</v>
      </c>
      <c r="E6" s="186">
        <f>Data!E5</f>
        <v>4732985.6480999999</v>
      </c>
      <c r="F6" s="185">
        <f ca="1">Data!F5</f>
        <v>13718.4654010056</v>
      </c>
      <c r="G6" s="185">
        <f t="shared" ca="1" si="3"/>
        <v>18266072.311554853</v>
      </c>
      <c r="H6" s="196">
        <f>Data!U5</f>
        <v>293.8</v>
      </c>
      <c r="I6" s="187">
        <f>Data!X5</f>
        <v>1.6999999999999993</v>
      </c>
      <c r="J6" s="187">
        <f>Data!AG5</f>
        <v>30</v>
      </c>
      <c r="K6" s="187">
        <f>Data!AU5</f>
        <v>1</v>
      </c>
      <c r="L6" s="188">
        <f>Data!M5</f>
        <v>138.63869639122566</v>
      </c>
      <c r="M6" s="187">
        <f>Data!AX5</f>
        <v>4</v>
      </c>
      <c r="N6" s="189">
        <f>Data!K5</f>
        <v>11366</v>
      </c>
      <c r="O6" s="190"/>
      <c r="P6" s="190">
        <f t="shared" si="4"/>
        <v>17512242.894337956</v>
      </c>
      <c r="Q6" s="92">
        <f t="shared" ca="1" si="5"/>
        <v>-753829.41721689701</v>
      </c>
      <c r="R6" s="93">
        <f t="shared" ca="1" si="1"/>
        <v>4.130039465434452E-2</v>
      </c>
      <c r="S6" s="25"/>
      <c r="T6" s="76"/>
      <c r="U6" s="50"/>
      <c r="V6" s="50"/>
      <c r="W6" s="50"/>
      <c r="X6" s="50"/>
      <c r="Y6" s="50"/>
      <c r="Z6" s="50"/>
    </row>
    <row r="7" spans="1:26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6">
        <f>Data!D6</f>
        <v>18454400</v>
      </c>
      <c r="E7" s="186">
        <f>Data!E6</f>
        <v>4046248.0761999995</v>
      </c>
      <c r="F7" s="185">
        <f ca="1">Data!F6</f>
        <v>17148.081751256999</v>
      </c>
      <c r="G7" s="185">
        <f t="shared" ca="1" si="3"/>
        <v>18471548.081751257</v>
      </c>
      <c r="H7" s="196">
        <f>Data!U6</f>
        <v>112.29999999999998</v>
      </c>
      <c r="I7" s="187">
        <f>Data!X6</f>
        <v>53.499999999999993</v>
      </c>
      <c r="J7" s="187">
        <f>Data!AG6</f>
        <v>31</v>
      </c>
      <c r="K7" s="187">
        <f>Data!AU6</f>
        <v>1</v>
      </c>
      <c r="L7" s="188">
        <f>Data!M6</f>
        <v>138.94231921364945</v>
      </c>
      <c r="M7" s="187">
        <f>Data!AX6</f>
        <v>5</v>
      </c>
      <c r="N7" s="189">
        <f>Data!K6</f>
        <v>11373.75</v>
      </c>
      <c r="O7" s="190"/>
      <c r="P7" s="190">
        <f t="shared" si="4"/>
        <v>18360593.749050852</v>
      </c>
      <c r="Q7" s="92">
        <f t="shared" ca="1" si="5"/>
        <v>-110954.33270040527</v>
      </c>
      <c r="R7" s="93">
        <f t="shared" ca="1" si="1"/>
        <v>6.0123511303756972E-3</v>
      </c>
      <c r="S7" s="25"/>
      <c r="T7" s="77"/>
      <c r="U7" s="50"/>
      <c r="V7" s="50"/>
      <c r="W7" s="50"/>
      <c r="X7" s="50"/>
      <c r="Y7" s="50"/>
      <c r="Z7" s="50"/>
    </row>
    <row r="8" spans="1:26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6">
        <f>Data!D7</f>
        <v>21528092.307692308</v>
      </c>
      <c r="E8" s="186">
        <f>Data!E7</f>
        <v>3885225.7753999992</v>
      </c>
      <c r="F8" s="185">
        <f ca="1">Data!F7</f>
        <v>20577.698101508402</v>
      </c>
      <c r="G8" s="185">
        <f t="shared" ca="1" si="3"/>
        <v>21548670.005793817</v>
      </c>
      <c r="H8" s="196">
        <f>Data!U7</f>
        <v>10.099999999999994</v>
      </c>
      <c r="I8" s="187">
        <f>Data!X7</f>
        <v>155.69999999999999</v>
      </c>
      <c r="J8" s="187">
        <f>Data!AG7</f>
        <v>30</v>
      </c>
      <c r="K8" s="187">
        <f>Data!AU7</f>
        <v>0</v>
      </c>
      <c r="L8" s="188">
        <f>Data!M7</f>
        <v>139.24594203607325</v>
      </c>
      <c r="M8" s="187">
        <f>Data!AX7</f>
        <v>6</v>
      </c>
      <c r="N8" s="189">
        <f>Data!K7</f>
        <v>11381.5</v>
      </c>
      <c r="O8" s="190"/>
      <c r="P8" s="190">
        <f t="shared" si="4"/>
        <v>22026303.019768566</v>
      </c>
      <c r="Q8" s="92">
        <f t="shared" ca="1" si="5"/>
        <v>477633.01397474855</v>
      </c>
      <c r="R8" s="93">
        <f t="shared" ca="1" si="1"/>
        <v>2.218649972083607E-2</v>
      </c>
      <c r="S8" s="25"/>
      <c r="T8" s="25"/>
      <c r="U8" s="50"/>
      <c r="V8" s="50"/>
      <c r="W8" s="50"/>
      <c r="X8" s="50"/>
      <c r="Y8" s="50"/>
      <c r="Z8" s="50"/>
    </row>
    <row r="9" spans="1:26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6">
        <f>Data!D8</f>
        <v>28389523.076923076</v>
      </c>
      <c r="E9" s="186">
        <f>Data!E8</f>
        <v>4417346.6200999999</v>
      </c>
      <c r="F9" s="185">
        <f ca="1">Data!F8</f>
        <v>24007.314451759801</v>
      </c>
      <c r="G9" s="185">
        <f t="shared" ca="1" si="3"/>
        <v>28413530.391374838</v>
      </c>
      <c r="H9" s="196">
        <f>Data!U8</f>
        <v>0</v>
      </c>
      <c r="I9" s="187">
        <f>Data!X8</f>
        <v>304.29999999999995</v>
      </c>
      <c r="J9" s="187">
        <f>Data!AG8</f>
        <v>31</v>
      </c>
      <c r="K9" s="187">
        <f>Data!AU8</f>
        <v>0</v>
      </c>
      <c r="L9" s="188">
        <f>Data!M8</f>
        <v>139.54956485849704</v>
      </c>
      <c r="M9" s="187">
        <f>Data!AX8</f>
        <v>7</v>
      </c>
      <c r="N9" s="189">
        <f>Data!K8</f>
        <v>11389.25</v>
      </c>
      <c r="O9" s="190"/>
      <c r="P9" s="190">
        <f t="shared" si="4"/>
        <v>29165986.698658347</v>
      </c>
      <c r="Q9" s="92">
        <f t="shared" ca="1" si="5"/>
        <v>752456.30728350952</v>
      </c>
      <c r="R9" s="93">
        <f t="shared" ca="1" si="1"/>
        <v>2.6504718140022469E-2</v>
      </c>
      <c r="S9" s="50"/>
      <c r="T9" s="50"/>
      <c r="U9" s="50"/>
      <c r="V9" s="50"/>
      <c r="W9" s="50"/>
      <c r="X9" s="50"/>
      <c r="Y9" s="50"/>
      <c r="Z9" s="50"/>
    </row>
    <row r="10" spans="1:26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6">
        <f>Data!D9</f>
        <v>24810530.769230768</v>
      </c>
      <c r="E10" s="186">
        <f>Data!E9</f>
        <v>6295914.5817999998</v>
      </c>
      <c r="F10" s="185">
        <f ca="1">Data!F9</f>
        <v>27436.9308020112</v>
      </c>
      <c r="G10" s="185">
        <f t="shared" ca="1" si="3"/>
        <v>24837967.700032778</v>
      </c>
      <c r="H10" s="196">
        <f>Data!U9</f>
        <v>0</v>
      </c>
      <c r="I10" s="187">
        <f>Data!X9</f>
        <v>206.4</v>
      </c>
      <c r="J10" s="187">
        <f>Data!AG9</f>
        <v>31</v>
      </c>
      <c r="K10" s="187">
        <f>Data!AU9</f>
        <v>0</v>
      </c>
      <c r="L10" s="188">
        <f>Data!M9</f>
        <v>139.85318768092083</v>
      </c>
      <c r="M10" s="187">
        <f>Data!AX9</f>
        <v>8</v>
      </c>
      <c r="N10" s="189">
        <f>Data!K9</f>
        <v>11397</v>
      </c>
      <c r="O10" s="190"/>
      <c r="P10" s="190">
        <f t="shared" si="4"/>
        <v>24719188.546283133</v>
      </c>
      <c r="Q10" s="92">
        <f t="shared" ca="1" si="5"/>
        <v>-118779.15374964476</v>
      </c>
      <c r="R10" s="93">
        <f t="shared" ca="1" si="1"/>
        <v>4.7874491220861303E-3</v>
      </c>
      <c r="S10" s="50"/>
      <c r="T10" s="50"/>
      <c r="U10" s="50"/>
      <c r="V10" s="50"/>
      <c r="W10" s="50"/>
      <c r="X10" s="50"/>
      <c r="Y10" s="50"/>
      <c r="Z10" s="50"/>
    </row>
    <row r="11" spans="1:26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6">
        <f>Data!D10</f>
        <v>19628307.692307692</v>
      </c>
      <c r="E11" s="186">
        <f>Data!E10</f>
        <v>5299992.0924000004</v>
      </c>
      <c r="F11" s="185">
        <f ca="1">Data!F10</f>
        <v>30866.547152262599</v>
      </c>
      <c r="G11" s="185">
        <f t="shared" ca="1" si="3"/>
        <v>19659174.239459954</v>
      </c>
      <c r="H11" s="196">
        <f>Data!U10</f>
        <v>59.3</v>
      </c>
      <c r="I11" s="187">
        <f>Data!X10</f>
        <v>76.599999999999994</v>
      </c>
      <c r="J11" s="187">
        <f>Data!AG10</f>
        <v>30</v>
      </c>
      <c r="K11" s="187">
        <f>Data!AU10</f>
        <v>0</v>
      </c>
      <c r="L11" s="188">
        <f>Data!M10</f>
        <v>140.15681050334462</v>
      </c>
      <c r="M11" s="187">
        <f>Data!AX10</f>
        <v>9</v>
      </c>
      <c r="N11" s="189">
        <f>Data!K10</f>
        <v>11404.75</v>
      </c>
      <c r="O11" s="190"/>
      <c r="P11" s="190">
        <f t="shared" si="4"/>
        <v>18992011.22184499</v>
      </c>
      <c r="Q11" s="92">
        <f t="shared" ca="1" si="5"/>
        <v>-667163.0176149644</v>
      </c>
      <c r="R11" s="93">
        <f t="shared" ca="1" si="1"/>
        <v>3.3989838964895824E-2</v>
      </c>
      <c r="S11" s="250"/>
      <c r="T11" s="250"/>
      <c r="U11" s="250"/>
      <c r="V11" s="250"/>
      <c r="W11" s="250"/>
      <c r="X11" s="250"/>
      <c r="Y11" s="50"/>
      <c r="Z11" s="50"/>
    </row>
    <row r="12" spans="1:26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6">
        <f>Data!D11</f>
        <v>18511823.076923076</v>
      </c>
      <c r="E12" s="186">
        <f>Data!E11</f>
        <v>4140209.2447999995</v>
      </c>
      <c r="F12" s="185">
        <f ca="1">Data!F11</f>
        <v>34296.163502513999</v>
      </c>
      <c r="G12" s="185">
        <f t="shared" ca="1" si="3"/>
        <v>18546119.24042559</v>
      </c>
      <c r="H12" s="196">
        <f>Data!U11</f>
        <v>189.50000000000003</v>
      </c>
      <c r="I12" s="187">
        <f>Data!X11</f>
        <v>15.899999999999999</v>
      </c>
      <c r="J12" s="187">
        <f>Data!AG11</f>
        <v>31</v>
      </c>
      <c r="K12" s="187">
        <f>Data!AU11</f>
        <v>0</v>
      </c>
      <c r="L12" s="188">
        <f>Data!M11</f>
        <v>140.46043332576841</v>
      </c>
      <c r="M12" s="187">
        <f>Data!AX11</f>
        <v>10</v>
      </c>
      <c r="N12" s="189">
        <f>Data!K11</f>
        <v>11412.5</v>
      </c>
      <c r="O12" s="190"/>
      <c r="P12" s="190">
        <f t="shared" si="4"/>
        <v>18152848.360295653</v>
      </c>
      <c r="Q12" s="92">
        <f t="shared" ca="1" si="5"/>
        <v>-393270.88012993708</v>
      </c>
      <c r="R12" s="93">
        <f t="shared" ca="1" si="1"/>
        <v>2.1244308488459485E-2</v>
      </c>
      <c r="S12" s="25"/>
      <c r="T12" s="25"/>
      <c r="U12" s="25"/>
      <c r="V12" s="25"/>
      <c r="W12" s="77"/>
      <c r="X12" s="25"/>
      <c r="Y12" s="50"/>
      <c r="Z12" s="50"/>
    </row>
    <row r="13" spans="1:26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6">
        <f>Data!D12</f>
        <v>18941946.153846152</v>
      </c>
      <c r="E13" s="186">
        <f>Data!E12</f>
        <v>3941621.7615999999</v>
      </c>
      <c r="F13" s="185">
        <f ca="1">Data!F12</f>
        <v>37725.779852765401</v>
      </c>
      <c r="G13" s="185">
        <f t="shared" ca="1" si="3"/>
        <v>18979671.933698919</v>
      </c>
      <c r="H13" s="196">
        <f>Data!U12</f>
        <v>314.09999999999991</v>
      </c>
      <c r="I13" s="187">
        <f>Data!X12</f>
        <v>0</v>
      </c>
      <c r="J13" s="187">
        <f>Data!AG12</f>
        <v>30</v>
      </c>
      <c r="K13" s="187">
        <f>Data!AU12</f>
        <v>0</v>
      </c>
      <c r="L13" s="188">
        <f>Data!M12</f>
        <v>140.7640561481922</v>
      </c>
      <c r="M13" s="187">
        <f>Data!AX12</f>
        <v>11</v>
      </c>
      <c r="N13" s="189">
        <f>Data!K12</f>
        <v>11420.25</v>
      </c>
      <c r="O13" s="190"/>
      <c r="P13" s="190">
        <f t="shared" si="4"/>
        <v>18327072.076465987</v>
      </c>
      <c r="Q13" s="92">
        <f t="shared" ca="1" si="5"/>
        <v>-652599.857232932</v>
      </c>
      <c r="R13" s="93">
        <f t="shared" ca="1" si="1"/>
        <v>3.4452629731524284E-2</v>
      </c>
      <c r="S13" s="25"/>
      <c r="T13" s="25"/>
      <c r="U13" s="25"/>
      <c r="V13" s="25"/>
      <c r="W13" s="25"/>
      <c r="X13" s="25"/>
      <c r="Y13" s="50"/>
      <c r="Z13" s="50"/>
    </row>
    <row r="14" spans="1:26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6">
        <f>Data!D13</f>
        <v>21539476.923076924</v>
      </c>
      <c r="E14" s="186">
        <f>Data!E13</f>
        <v>4160346.3289999999</v>
      </c>
      <c r="F14" s="185">
        <f ca="1">Data!F13</f>
        <v>41155.396203016804</v>
      </c>
      <c r="G14" s="185">
        <f t="shared" ca="1" si="3"/>
        <v>21580632.319279939</v>
      </c>
      <c r="H14" s="196">
        <f>Data!U13</f>
        <v>495.60000000000014</v>
      </c>
      <c r="I14" s="187">
        <f>Data!X13</f>
        <v>0</v>
      </c>
      <c r="J14" s="187">
        <f>Data!AG13</f>
        <v>31</v>
      </c>
      <c r="K14" s="187">
        <f>Data!AU13</f>
        <v>0</v>
      </c>
      <c r="L14" s="188">
        <f>Data!M13</f>
        <v>141.06767897061599</v>
      </c>
      <c r="M14" s="187">
        <f>Data!AX13</f>
        <v>12</v>
      </c>
      <c r="N14" s="189">
        <f>Data!K13</f>
        <v>11404</v>
      </c>
      <c r="O14" s="190"/>
      <c r="P14" s="190">
        <f t="shared" si="4"/>
        <v>20814545.615502324</v>
      </c>
      <c r="Q14" s="92">
        <f t="shared" ca="1" si="5"/>
        <v>-766086.70377761498</v>
      </c>
      <c r="R14" s="93">
        <f t="shared" ca="1" si="1"/>
        <v>3.5566634534046945E-2</v>
      </c>
      <c r="S14" s="25"/>
      <c r="T14" s="25"/>
      <c r="U14" s="25"/>
      <c r="V14" s="25"/>
      <c r="W14" s="25"/>
      <c r="X14" s="25"/>
      <c r="Y14" s="50"/>
      <c r="Z14" s="50"/>
    </row>
    <row r="15" spans="1:26" ht="13.5" thickBot="1" x14ac:dyDescent="0.25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6">
        <f>Data!D14</f>
        <v>22039669.230769232</v>
      </c>
      <c r="E15" s="186">
        <f>Data!E14</f>
        <v>5033525.5924000004</v>
      </c>
      <c r="F15" s="185">
        <f ca="1">Data!F14</f>
        <v>52230.414091414554</v>
      </c>
      <c r="G15" s="185">
        <f t="shared" ca="1" si="3"/>
        <v>22091899.644860648</v>
      </c>
      <c r="H15" s="196">
        <f>Data!U14</f>
        <v>586.79999999999995</v>
      </c>
      <c r="I15" s="187">
        <f>Data!X14</f>
        <v>0</v>
      </c>
      <c r="J15" s="187">
        <f>Data!AG14</f>
        <v>31</v>
      </c>
      <c r="K15" s="187">
        <f>Data!AU14</f>
        <v>0</v>
      </c>
      <c r="L15" s="188">
        <f>Data!M14</f>
        <v>141.23684578433688</v>
      </c>
      <c r="M15" s="187">
        <f>Data!AX14</f>
        <v>13</v>
      </c>
      <c r="N15" s="189">
        <f>Data!K14</f>
        <v>11409.166666666666</v>
      </c>
      <c r="O15" s="191"/>
      <c r="P15" s="190">
        <f t="shared" si="4"/>
        <v>21822827.172368217</v>
      </c>
      <c r="Q15" s="92">
        <f t="shared" ca="1" si="5"/>
        <v>-269072.47249243036</v>
      </c>
      <c r="R15" s="93">
        <f t="shared" ca="1" si="1"/>
        <v>1.2208553117339101E-2</v>
      </c>
      <c r="S15" s="50"/>
      <c r="T15" s="50"/>
      <c r="U15" s="50"/>
      <c r="V15" s="50"/>
      <c r="W15" s="50"/>
      <c r="X15" s="50"/>
      <c r="Y15" s="50"/>
      <c r="Z15" s="50"/>
    </row>
    <row r="16" spans="1:26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6">
        <f>Data!D15</f>
        <v>19611361.53846154</v>
      </c>
      <c r="E16" s="186">
        <f>Data!E15</f>
        <v>5163650.5350000001</v>
      </c>
      <c r="F16" s="185">
        <f ca="1">Data!F15</f>
        <v>59875.815629560908</v>
      </c>
      <c r="G16" s="185">
        <f t="shared" ca="1" si="3"/>
        <v>19671237.3540911</v>
      </c>
      <c r="H16" s="196">
        <f>Data!U15</f>
        <v>507.1</v>
      </c>
      <c r="I16" s="187">
        <f>Data!X15</f>
        <v>0</v>
      </c>
      <c r="J16" s="187">
        <f>Data!AG15</f>
        <v>29</v>
      </c>
      <c r="K16" s="187">
        <f>Data!AU15</f>
        <v>0</v>
      </c>
      <c r="L16" s="188">
        <f>Data!M15</f>
        <v>141.40601259805777</v>
      </c>
      <c r="M16" s="187">
        <f>Data!AX15</f>
        <v>14</v>
      </c>
      <c r="N16" s="189">
        <f>Data!K15</f>
        <v>11414.333333333332</v>
      </c>
      <c r="O16" s="191"/>
      <c r="P16" s="190">
        <f t="shared" si="4"/>
        <v>19986359.3133763</v>
      </c>
      <c r="Q16" s="92">
        <f t="shared" ca="1" si="5"/>
        <v>315121.95928519964</v>
      </c>
      <c r="R16" s="93">
        <f t="shared" ca="1" si="1"/>
        <v>1.6068336645937951E-2</v>
      </c>
      <c r="S16" s="38"/>
      <c r="T16" s="38" t="s">
        <v>15</v>
      </c>
      <c r="U16" s="38" t="s">
        <v>14</v>
      </c>
      <c r="V16" s="38" t="s">
        <v>16</v>
      </c>
      <c r="W16" s="38" t="s">
        <v>17</v>
      </c>
      <c r="X16" s="250"/>
      <c r="Y16" s="250"/>
      <c r="Z16" s="50"/>
    </row>
    <row r="17" spans="1:26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6">
        <f>Data!D16</f>
        <v>18499069.230769232</v>
      </c>
      <c r="E17" s="186">
        <f>Data!E16</f>
        <v>4524363.9985999996</v>
      </c>
      <c r="F17" s="185">
        <f ca="1">Data!F16</f>
        <v>67521.217167707262</v>
      </c>
      <c r="G17" s="185">
        <f t="shared" ca="1" si="3"/>
        <v>18566590.447936941</v>
      </c>
      <c r="H17" s="196">
        <f>Data!U16</f>
        <v>267.8</v>
      </c>
      <c r="I17" s="187">
        <f>Data!X16</f>
        <v>15.7</v>
      </c>
      <c r="J17" s="187">
        <f>Data!AG16</f>
        <v>31</v>
      </c>
      <c r="K17" s="187">
        <f>Data!AU16</f>
        <v>1</v>
      </c>
      <c r="L17" s="188">
        <f>Data!M16</f>
        <v>141.57517941177866</v>
      </c>
      <c r="M17" s="187">
        <f>Data!AX16</f>
        <v>15</v>
      </c>
      <c r="N17" s="189">
        <f>Data!K16</f>
        <v>11419.499999999998</v>
      </c>
      <c r="O17" s="191"/>
      <c r="P17" s="190">
        <f t="shared" si="4"/>
        <v>18419567.066452809</v>
      </c>
      <c r="Q17" s="92">
        <f t="shared" ca="1" si="5"/>
        <v>-147023.38148413226</v>
      </c>
      <c r="R17" s="93">
        <f t="shared" ca="1" si="1"/>
        <v>7.9476096689010938E-3</v>
      </c>
      <c r="S17" t="s">
        <v>111</v>
      </c>
      <c r="T17">
        <v>-3168790.2170410501</v>
      </c>
      <c r="U17">
        <v>2603614.4407894099</v>
      </c>
      <c r="V17">
        <v>-1.2170735295508199</v>
      </c>
      <c r="W17" s="184">
        <v>0.22608978093415399</v>
      </c>
      <c r="X17" s="77"/>
      <c r="Y17" s="77"/>
      <c r="Z17" s="50"/>
    </row>
    <row r="18" spans="1:26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6">
        <f>Data!D17</f>
        <v>19946663.636363637</v>
      </c>
      <c r="E18" s="186">
        <f>Data!E17</f>
        <v>4020800.6875999994</v>
      </c>
      <c r="F18" s="185">
        <f ca="1">Data!F17</f>
        <v>75166.618705853616</v>
      </c>
      <c r="G18" s="185">
        <f t="shared" ca="1" si="3"/>
        <v>20021830.255069491</v>
      </c>
      <c r="H18" s="196">
        <f>Data!U17</f>
        <v>264.29999999999995</v>
      </c>
      <c r="I18" s="187">
        <f>Data!X17</f>
        <v>2.8999999999999986</v>
      </c>
      <c r="J18" s="187">
        <f>Data!AG17</f>
        <v>30</v>
      </c>
      <c r="K18" s="187">
        <f>Data!AU17</f>
        <v>1</v>
      </c>
      <c r="L18" s="188">
        <f>Data!M17</f>
        <v>141.74434622549956</v>
      </c>
      <c r="M18" s="187">
        <f>Data!AX17</f>
        <v>16</v>
      </c>
      <c r="N18" s="189">
        <f>Data!K17</f>
        <v>11424.666666666664</v>
      </c>
      <c r="O18" s="191"/>
      <c r="P18" s="190">
        <f t="shared" si="4"/>
        <v>17321234.596307222</v>
      </c>
      <c r="Q18" s="92">
        <f t="shared" ca="1" si="5"/>
        <v>-2700595.6587622687</v>
      </c>
      <c r="R18" s="93">
        <f t="shared" ca="1" si="1"/>
        <v>0.13539084570709686</v>
      </c>
      <c r="S18" t="s">
        <v>91</v>
      </c>
      <c r="T18">
        <v>11008.4512077372</v>
      </c>
      <c r="U18">
        <v>479.70895998512702</v>
      </c>
      <c r="V18">
        <v>22.948187601245699</v>
      </c>
      <c r="W18" s="184">
        <v>1.51934008950765E-44</v>
      </c>
      <c r="X18" s="77"/>
      <c r="Y18" s="77"/>
      <c r="Z18" s="50"/>
    </row>
    <row r="19" spans="1:26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6">
        <f>Data!D18</f>
        <v>18352863.636363637</v>
      </c>
      <c r="E19" s="186">
        <f>Data!E18</f>
        <v>3715365.5429000002</v>
      </c>
      <c r="F19" s="185">
        <f ca="1">Data!F18</f>
        <v>82812.02024399997</v>
      </c>
      <c r="G19" s="185">
        <f t="shared" ca="1" si="3"/>
        <v>18435675.656607635</v>
      </c>
      <c r="H19" s="196">
        <f>Data!U18</f>
        <v>50.400000000000006</v>
      </c>
      <c r="I19" s="187">
        <f>Data!X18</f>
        <v>86.6</v>
      </c>
      <c r="J19" s="187">
        <f>Data!AG18</f>
        <v>31</v>
      </c>
      <c r="K19" s="187">
        <f>Data!AU18</f>
        <v>1</v>
      </c>
      <c r="L19" s="188">
        <f>Data!M18</f>
        <v>141.91351303922045</v>
      </c>
      <c r="M19" s="187">
        <f>Data!AX18</f>
        <v>17</v>
      </c>
      <c r="N19" s="189">
        <f>Data!K18</f>
        <v>11429.83333333333</v>
      </c>
      <c r="O19" s="191"/>
      <c r="P19" s="190">
        <f t="shared" si="4"/>
        <v>19260963.122459404</v>
      </c>
      <c r="Q19" s="92">
        <f t="shared" ca="1" si="5"/>
        <v>825287.46585176885</v>
      </c>
      <c r="R19" s="93">
        <f t="shared" ca="1" si="1"/>
        <v>4.4967776266619068E-2</v>
      </c>
      <c r="S19" t="s">
        <v>94</v>
      </c>
      <c r="T19">
        <v>45500.870735234799</v>
      </c>
      <c r="U19">
        <v>1504.52684256919</v>
      </c>
      <c r="V19">
        <v>30.242644695880401</v>
      </c>
      <c r="W19" s="184">
        <v>2.77127322118577E-56</v>
      </c>
      <c r="X19" s="77"/>
      <c r="Y19" s="77"/>
      <c r="Z19" s="50"/>
    </row>
    <row r="20" spans="1:26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6">
        <f>Data!D19</f>
        <v>22640936.36363636</v>
      </c>
      <c r="E20" s="186">
        <f>Data!E19</f>
        <v>3836936.6406</v>
      </c>
      <c r="F20" s="185">
        <f ca="1">Data!F19</f>
        <v>90457.421782146324</v>
      </c>
      <c r="G20" s="185">
        <f t="shared" ca="1" si="3"/>
        <v>22731393.785418507</v>
      </c>
      <c r="H20" s="196">
        <f>Data!U19</f>
        <v>11.900000000000004</v>
      </c>
      <c r="I20" s="187">
        <f>Data!X19</f>
        <v>185.79999999999998</v>
      </c>
      <c r="J20" s="187">
        <f>Data!AG19</f>
        <v>30</v>
      </c>
      <c r="K20" s="187">
        <f>Data!AU19</f>
        <v>0</v>
      </c>
      <c r="L20" s="188">
        <f>Data!M19</f>
        <v>142.08267985294134</v>
      </c>
      <c r="M20" s="187">
        <f>Data!AX19</f>
        <v>18</v>
      </c>
      <c r="N20" s="189">
        <f>Data!K19</f>
        <v>11434.999999999996</v>
      </c>
      <c r="O20" s="191"/>
      <c r="P20" s="190">
        <f t="shared" si="4"/>
        <v>23487981.837020259</v>
      </c>
      <c r="Q20" s="92">
        <f t="shared" ca="1" si="5"/>
        <v>756588.05160175264</v>
      </c>
      <c r="R20" s="93">
        <f t="shared" ca="1" si="1"/>
        <v>3.341681807899561E-2</v>
      </c>
      <c r="S20" t="s">
        <v>134</v>
      </c>
      <c r="T20">
        <v>481702.55222776002</v>
      </c>
      <c r="U20">
        <v>72377.588840583194</v>
      </c>
      <c r="V20">
        <v>6.6554103272042404</v>
      </c>
      <c r="W20" s="184">
        <v>1.0326653713756499E-9</v>
      </c>
      <c r="X20" s="77"/>
      <c r="Y20" s="77"/>
      <c r="Z20" s="50"/>
    </row>
    <row r="21" spans="1:26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6">
        <f>Data!D20</f>
        <v>27569299.999999996</v>
      </c>
      <c r="E21" s="186">
        <f>Data!E20</f>
        <v>4801683.09</v>
      </c>
      <c r="F21" s="185">
        <f ca="1">Data!F20</f>
        <v>98102.823320292679</v>
      </c>
      <c r="G21" s="185">
        <f t="shared" ca="1" si="3"/>
        <v>27667402.823320288</v>
      </c>
      <c r="H21" s="196">
        <f>Data!U20</f>
        <v>0</v>
      </c>
      <c r="I21" s="187">
        <f>Data!X20</f>
        <v>279.8</v>
      </c>
      <c r="J21" s="187">
        <f>Data!AG20</f>
        <v>31</v>
      </c>
      <c r="K21" s="187">
        <f>Data!AU20</f>
        <v>0</v>
      </c>
      <c r="L21" s="188">
        <f>Data!M20</f>
        <v>142.25184666666223</v>
      </c>
      <c r="M21" s="187">
        <f>Data!AX20</f>
        <v>19</v>
      </c>
      <c r="N21" s="189">
        <f>Data!K20</f>
        <v>11440.166666666662</v>
      </c>
      <c r="O21" s="191"/>
      <c r="P21" s="190">
        <f t="shared" si="4"/>
        <v>28120076.47570828</v>
      </c>
      <c r="Q21" s="92">
        <f t="shared" ca="1" si="5"/>
        <v>452673.65238799155</v>
      </c>
      <c r="R21" s="93">
        <f t="shared" ca="1" si="1"/>
        <v>1.641948298970201E-2</v>
      </c>
      <c r="S21" t="s">
        <v>131</v>
      </c>
      <c r="T21">
        <v>-614549.45463094697</v>
      </c>
      <c r="U21">
        <v>200224.083742811</v>
      </c>
      <c r="V21">
        <v>-3.0693083626260398</v>
      </c>
      <c r="W21" s="184">
        <v>2.6817569832331299E-3</v>
      </c>
      <c r="X21" s="77"/>
      <c r="Y21" s="77"/>
      <c r="Z21" s="50"/>
    </row>
    <row r="22" spans="1:26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6">
        <f>Data!D21</f>
        <v>23505663.636363633</v>
      </c>
      <c r="E22" s="186">
        <f>Data!E21</f>
        <v>6167729.818</v>
      </c>
      <c r="F22" s="185">
        <f ca="1">Data!F21</f>
        <v>105748.22485843903</v>
      </c>
      <c r="G22" s="185">
        <f t="shared" ca="1" si="3"/>
        <v>23611411.861222073</v>
      </c>
      <c r="H22" s="196">
        <f>Data!U21</f>
        <v>0.60000000000000142</v>
      </c>
      <c r="I22" s="187">
        <f>Data!X21</f>
        <v>193.19999999999996</v>
      </c>
      <c r="J22" s="187">
        <f>Data!AG21</f>
        <v>31</v>
      </c>
      <c r="K22" s="187">
        <f>Data!AU21</f>
        <v>0</v>
      </c>
      <c r="L22" s="188">
        <f>Data!M21</f>
        <v>142.42101348038312</v>
      </c>
      <c r="M22" s="187">
        <f>Data!AX21</f>
        <v>20</v>
      </c>
      <c r="N22" s="189">
        <f>Data!K21</f>
        <v>11445.333333333328</v>
      </c>
      <c r="O22" s="191"/>
      <c r="P22" s="190">
        <f t="shared" si="4"/>
        <v>24190616.947481845</v>
      </c>
      <c r="Q22" s="92">
        <f t="shared" ca="1" si="5"/>
        <v>579205.08625977114</v>
      </c>
      <c r="R22" s="93">
        <f t="shared" ca="1" si="1"/>
        <v>2.4641086302440392E-2</v>
      </c>
      <c r="S22" t="s">
        <v>138</v>
      </c>
      <c r="T22">
        <v>25482.579150373898</v>
      </c>
      <c r="U22">
        <v>9966.9343805222597</v>
      </c>
      <c r="V22">
        <v>2.5567118411226701</v>
      </c>
      <c r="W22">
        <v>1.18809563493488E-2</v>
      </c>
      <c r="X22" s="77"/>
      <c r="Y22" s="77"/>
      <c r="Z22" s="50"/>
    </row>
    <row r="23" spans="1:26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6">
        <f>Data!D22</f>
        <v>18912418.18181818</v>
      </c>
      <c r="E23" s="186">
        <f>Data!E22</f>
        <v>5144563.318</v>
      </c>
      <c r="F23" s="185">
        <f ca="1">Data!F22</f>
        <v>113393.62639658539</v>
      </c>
      <c r="G23" s="185">
        <f t="shared" ca="1" si="3"/>
        <v>19025811.808214765</v>
      </c>
      <c r="H23" s="196">
        <f>Data!U22</f>
        <v>59.599999999999994</v>
      </c>
      <c r="I23" s="187">
        <f>Data!X22</f>
        <v>79.5</v>
      </c>
      <c r="J23" s="187">
        <f>Data!AG22</f>
        <v>30</v>
      </c>
      <c r="K23" s="187">
        <f>Data!AU22</f>
        <v>0</v>
      </c>
      <c r="L23" s="188">
        <f>Data!M22</f>
        <v>142.59018029410402</v>
      </c>
      <c r="M23" s="187">
        <f>Data!AX22</f>
        <v>21</v>
      </c>
      <c r="N23" s="189">
        <f>Data!K22</f>
        <v>11450.499999999995</v>
      </c>
      <c r="O23" s="191"/>
      <c r="P23" s="190">
        <f t="shared" si="4"/>
        <v>19189274.820634644</v>
      </c>
      <c r="Q23" s="92">
        <f t="shared" ca="1" si="5"/>
        <v>163463.01241987944</v>
      </c>
      <c r="R23" s="93">
        <f t="shared" ca="1" si="1"/>
        <v>8.6431576781137269E-3</v>
      </c>
      <c r="X23" s="50"/>
      <c r="Y23" s="50"/>
      <c r="Z23" s="50"/>
    </row>
    <row r="24" spans="1:26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6">
        <f>Data!D23</f>
        <v>17381318.18181818</v>
      </c>
      <c r="E24" s="186">
        <f>Data!E23</f>
        <v>4109515.5469999998</v>
      </c>
      <c r="F24" s="185">
        <f ca="1">Data!F23</f>
        <v>121039.02793473174</v>
      </c>
      <c r="G24" s="185">
        <f t="shared" ca="1" si="3"/>
        <v>17502357.20975291</v>
      </c>
      <c r="H24" s="196">
        <f>Data!U23</f>
        <v>205.90000000000003</v>
      </c>
      <c r="I24" s="187">
        <f>Data!X23</f>
        <v>16.000000000000004</v>
      </c>
      <c r="J24" s="187">
        <f>Data!AG23</f>
        <v>31</v>
      </c>
      <c r="K24" s="187">
        <f>Data!AU23</f>
        <v>0</v>
      </c>
      <c r="L24" s="188">
        <f>Data!M23</f>
        <v>142.75934710782491</v>
      </c>
      <c r="M24" s="187">
        <f>Data!AX23</f>
        <v>22</v>
      </c>
      <c r="N24" s="189">
        <f>Data!K23</f>
        <v>11455.666666666661</v>
      </c>
      <c r="O24" s="191"/>
      <c r="P24" s="190">
        <f t="shared" si="4"/>
        <v>18396519.299587209</v>
      </c>
      <c r="Q24" s="92">
        <f t="shared" ca="1" si="5"/>
        <v>894162.08983429894</v>
      </c>
      <c r="R24" s="93">
        <f t="shared" ca="1" si="1"/>
        <v>5.144385946341181E-2</v>
      </c>
      <c r="S24"/>
      <c r="X24" s="50"/>
      <c r="Y24" s="50"/>
      <c r="Z24" s="50"/>
    </row>
    <row r="25" spans="1:26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6">
        <f>Data!D24</f>
        <v>18308972.727272727</v>
      </c>
      <c r="E25" s="186">
        <f>Data!E24</f>
        <v>3700252.9467000002</v>
      </c>
      <c r="F25" s="185">
        <f ca="1">Data!F24</f>
        <v>128684.4294728781</v>
      </c>
      <c r="G25" s="185">
        <f t="shared" ca="1" si="3"/>
        <v>18437657.156745605</v>
      </c>
      <c r="H25" s="196">
        <f>Data!U24</f>
        <v>407.2</v>
      </c>
      <c r="I25" s="187">
        <f>Data!X24</f>
        <v>0</v>
      </c>
      <c r="J25" s="187">
        <f>Data!AG24</f>
        <v>30</v>
      </c>
      <c r="K25" s="187">
        <f>Data!AU24</f>
        <v>0</v>
      </c>
      <c r="L25" s="188">
        <f>Data!M24</f>
        <v>142.9285139215458</v>
      </c>
      <c r="M25" s="187">
        <f>Data!AX24</f>
        <v>23</v>
      </c>
      <c r="N25" s="189">
        <f>Data!K24</f>
        <v>11460.833333333327</v>
      </c>
      <c r="O25" s="191"/>
      <c r="P25" s="190">
        <f t="shared" si="4"/>
        <v>19407114.850433446</v>
      </c>
      <c r="Q25" s="92">
        <f t="shared" ca="1" si="5"/>
        <v>969457.6936878413</v>
      </c>
      <c r="R25" s="93">
        <f t="shared" ca="1" si="1"/>
        <v>5.2949868249230279E-2</v>
      </c>
      <c r="S25" t="s">
        <v>114</v>
      </c>
      <c r="X25" s="50"/>
      <c r="Y25" s="50"/>
      <c r="Z25" s="50"/>
    </row>
    <row r="26" spans="1:26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6">
        <f>Data!D25</f>
        <v>20133590.90909091</v>
      </c>
      <c r="E26" s="186">
        <f>Data!E25</f>
        <v>3952350.1461</v>
      </c>
      <c r="F26" s="185">
        <f ca="1">Data!F25</f>
        <v>136329.83101102445</v>
      </c>
      <c r="G26" s="185">
        <f t="shared" ca="1" si="3"/>
        <v>20269920.740101933</v>
      </c>
      <c r="H26" s="196">
        <f>Data!U25</f>
        <v>495.99999999999994</v>
      </c>
      <c r="I26" s="187">
        <f>Data!X25</f>
        <v>0</v>
      </c>
      <c r="J26" s="187">
        <f>Data!AG25</f>
        <v>31</v>
      </c>
      <c r="K26" s="187">
        <f>Data!AU25</f>
        <v>0</v>
      </c>
      <c r="L26" s="188">
        <f>Data!M25</f>
        <v>143.09768073526669</v>
      </c>
      <c r="M26" s="187">
        <f>Data!AX25</f>
        <v>24</v>
      </c>
      <c r="N26" s="189">
        <f>Data!K25</f>
        <v>11497</v>
      </c>
      <c r="O26" s="191"/>
      <c r="P26" s="190">
        <f t="shared" si="4"/>
        <v>20870678.67662853</v>
      </c>
      <c r="Q26" s="92">
        <f t="shared" ca="1" si="5"/>
        <v>600757.93652659655</v>
      </c>
      <c r="R26" s="93">
        <f t="shared" ca="1" si="1"/>
        <v>2.9838588617360683E-2</v>
      </c>
      <c r="S26" t="s">
        <v>115</v>
      </c>
      <c r="T26">
        <v>21107669.826609399</v>
      </c>
      <c r="U26" t="s">
        <v>116</v>
      </c>
      <c r="V26">
        <v>2669499.31533268</v>
      </c>
      <c r="X26" s="50"/>
      <c r="Y26" s="50"/>
      <c r="Z26" s="50"/>
    </row>
    <row r="27" spans="1:26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6">
        <f>Data!D26</f>
        <v>23386699.999999996</v>
      </c>
      <c r="E27" s="186">
        <f>Data!E26</f>
        <v>4815275.5839999998</v>
      </c>
      <c r="F27" s="185">
        <f ca="1">Data!F26</f>
        <v>148142.84654301283</v>
      </c>
      <c r="G27" s="185">
        <f t="shared" ca="1" si="3"/>
        <v>23534842.84654301</v>
      </c>
      <c r="H27" s="196">
        <f>Data!U26</f>
        <v>613.5</v>
      </c>
      <c r="I27" s="187">
        <f>Data!X26</f>
        <v>0</v>
      </c>
      <c r="J27" s="187">
        <f>Data!AG26</f>
        <v>31</v>
      </c>
      <c r="K27" s="187">
        <f>Data!AU26</f>
        <v>0</v>
      </c>
      <c r="L27" s="188">
        <f>Data!M26</f>
        <v>143.26657147018994</v>
      </c>
      <c r="M27" s="187">
        <f>Data!AX26</f>
        <v>25</v>
      </c>
      <c r="N27" s="189">
        <f>Data!K26</f>
        <v>11505.083333333334</v>
      </c>
      <c r="O27" s="191"/>
      <c r="P27" s="190">
        <f t="shared" si="4"/>
        <v>22168475.465058099</v>
      </c>
      <c r="Q27" s="92">
        <f t="shared" ca="1" si="5"/>
        <v>-1366367.3814849108</v>
      </c>
      <c r="R27" s="93">
        <f t="shared" ca="1" si="1"/>
        <v>5.84249757975649E-2</v>
      </c>
      <c r="S27" t="s">
        <v>117</v>
      </c>
      <c r="T27">
        <v>52621478883136</v>
      </c>
      <c r="U27" t="s">
        <v>118</v>
      </c>
      <c r="V27" s="184">
        <v>679405.56373016897</v>
      </c>
    </row>
    <row r="28" spans="1:26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6">
        <f>Data!D27</f>
        <v>21170572.727272727</v>
      </c>
      <c r="E28" s="186">
        <f>Data!E27</f>
        <v>5121922.8539999994</v>
      </c>
      <c r="F28" s="185">
        <f ca="1">Data!F27</f>
        <v>152310.46053685484</v>
      </c>
      <c r="G28" s="185">
        <f t="shared" ca="1" si="3"/>
        <v>21322883.187809583</v>
      </c>
      <c r="H28" s="196">
        <f>Data!U27</f>
        <v>590.79999999999995</v>
      </c>
      <c r="I28" s="187">
        <f>Data!X27</f>
        <v>0</v>
      </c>
      <c r="J28" s="187">
        <f>Data!AG27</f>
        <v>28</v>
      </c>
      <c r="K28" s="187">
        <f>Data!AU27</f>
        <v>0</v>
      </c>
      <c r="L28" s="188">
        <f>Data!M27</f>
        <v>143.4354622051132</v>
      </c>
      <c r="M28" s="187">
        <f>Data!AX27</f>
        <v>26</v>
      </c>
      <c r="N28" s="189">
        <f>Data!K27</f>
        <v>11513.166666666668</v>
      </c>
      <c r="O28" s="191"/>
      <c r="P28" s="190">
        <f t="shared" si="4"/>
        <v>20477779.737479631</v>
      </c>
      <c r="Q28" s="92">
        <f t="shared" ca="1" si="5"/>
        <v>-845103.45032995194</v>
      </c>
      <c r="R28" s="93">
        <f t="shared" ca="1" si="1"/>
        <v>3.9918780715897113E-2</v>
      </c>
      <c r="S28" t="s">
        <v>119</v>
      </c>
      <c r="T28">
        <v>0.93863458532288102</v>
      </c>
      <c r="U28" t="s">
        <v>120</v>
      </c>
      <c r="V28" s="184">
        <v>0.93594311976686695</v>
      </c>
    </row>
    <row r="29" spans="1:26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6">
        <f>Data!D28</f>
        <v>21583554.545454543</v>
      </c>
      <c r="E29" s="186">
        <f>Data!E28</f>
        <v>4664194.591599999</v>
      </c>
      <c r="F29" s="185">
        <f ca="1">Data!F28</f>
        <v>156478.07453069682</v>
      </c>
      <c r="G29" s="185">
        <f t="shared" ca="1" si="3"/>
        <v>21740032.619985241</v>
      </c>
      <c r="H29" s="196">
        <f>Data!U28</f>
        <v>524.20000000000016</v>
      </c>
      <c r="I29" s="187">
        <f>Data!X28</f>
        <v>0</v>
      </c>
      <c r="J29" s="187">
        <f>Data!AG28</f>
        <v>31</v>
      </c>
      <c r="K29" s="187">
        <f>Data!AU28</f>
        <v>1</v>
      </c>
      <c r="L29" s="188">
        <f>Data!M28</f>
        <v>143.60435294003645</v>
      </c>
      <c r="M29" s="187">
        <f>Data!AX28</f>
        <v>27</v>
      </c>
      <c r="N29" s="189">
        <f>Data!K28</f>
        <v>11521.250000000002</v>
      </c>
      <c r="O29" s="191"/>
      <c r="P29" s="190">
        <f t="shared" si="4"/>
        <v>20579478.860617112</v>
      </c>
      <c r="Q29" s="92">
        <f t="shared" ca="1" si="5"/>
        <v>-1160553.7593681291</v>
      </c>
      <c r="R29" s="93">
        <f t="shared" ca="1" si="1"/>
        <v>5.3770279446975502E-2</v>
      </c>
      <c r="S29" t="s">
        <v>174</v>
      </c>
      <c r="T29">
        <v>302.10666854891201</v>
      </c>
      <c r="U29" t="s">
        <v>122</v>
      </c>
      <c r="V29" s="184">
        <v>5.1261610690993001E-64</v>
      </c>
    </row>
    <row r="30" spans="1:26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6">
        <f>Data!D29</f>
        <v>19125345.454545453</v>
      </c>
      <c r="E30" s="186">
        <f>Data!E29</f>
        <v>4705233.0269999998</v>
      </c>
      <c r="F30" s="185">
        <f ca="1">Data!F29</f>
        <v>160645.68852453883</v>
      </c>
      <c r="G30" s="185">
        <f t="shared" ca="1" si="3"/>
        <v>19285991.143069994</v>
      </c>
      <c r="H30" s="196">
        <f>Data!U29</f>
        <v>318.29999999999995</v>
      </c>
      <c r="I30" s="187">
        <f>Data!X29</f>
        <v>0.80000000000000071</v>
      </c>
      <c r="J30" s="187">
        <f>Data!AG29</f>
        <v>30</v>
      </c>
      <c r="K30" s="187">
        <f>Data!AU29</f>
        <v>1</v>
      </c>
      <c r="L30" s="188">
        <f>Data!M29</f>
        <v>143.7732436749597</v>
      </c>
      <c r="M30" s="187">
        <f>Data!AX29</f>
        <v>28</v>
      </c>
      <c r="N30" s="189">
        <f>Data!K29</f>
        <v>11529.333333333336</v>
      </c>
      <c r="O30" s="191"/>
      <c r="P30" s="190">
        <f t="shared" si="4"/>
        <v>17871840.672824897</v>
      </c>
      <c r="Q30" s="92">
        <f t="shared" ca="1" si="5"/>
        <v>-1414150.4702450968</v>
      </c>
      <c r="R30" s="93">
        <f t="shared" ca="1" si="1"/>
        <v>7.3941172649982151E-2</v>
      </c>
      <c r="S30" t="s">
        <v>123</v>
      </c>
      <c r="T30">
        <v>3.14586288004228E-2</v>
      </c>
      <c r="U30" t="s">
        <v>124</v>
      </c>
      <c r="V30" s="184">
        <v>1.9365572388868</v>
      </c>
    </row>
    <row r="31" spans="1:26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6">
        <f>Data!D30</f>
        <v>17617625.000000004</v>
      </c>
      <c r="E31" s="186">
        <f>Data!E30</f>
        <v>3915508.8012999999</v>
      </c>
      <c r="F31" s="185">
        <f ca="1">Data!F30</f>
        <v>164813.30251838083</v>
      </c>
      <c r="G31" s="185">
        <f t="shared" ca="1" si="3"/>
        <v>17782438.302518386</v>
      </c>
      <c r="H31" s="196">
        <f>Data!U30</f>
        <v>83.3</v>
      </c>
      <c r="I31" s="187">
        <f>Data!X30</f>
        <v>84.7</v>
      </c>
      <c r="J31" s="187">
        <f>Data!AG30</f>
        <v>31</v>
      </c>
      <c r="K31" s="187">
        <f>Data!AU30</f>
        <v>1</v>
      </c>
      <c r="L31" s="188">
        <f>Data!M30</f>
        <v>143.94213440988295</v>
      </c>
      <c r="M31" s="187">
        <f>Data!AX30</f>
        <v>29</v>
      </c>
      <c r="N31" s="189">
        <f>Data!K30</f>
        <v>11537.41666666667</v>
      </c>
      <c r="O31" s="191"/>
      <c r="P31" s="190">
        <f t="shared" si="4"/>
        <v>19588384.01744106</v>
      </c>
      <c r="Q31" s="92">
        <f t="shared" ca="1" si="5"/>
        <v>1805945.714922674</v>
      </c>
      <c r="R31" s="93">
        <f t="shared" ca="1" si="1"/>
        <v>0.10250789847795452</v>
      </c>
      <c r="S31"/>
    </row>
    <row r="32" spans="1:26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6">
        <f>Data!D31</f>
        <v>19936866.666666668</v>
      </c>
      <c r="E32" s="186">
        <f>Data!E31</f>
        <v>3645317.7157999999</v>
      </c>
      <c r="F32" s="185">
        <f ca="1">Data!F31</f>
        <v>168980.91651222284</v>
      </c>
      <c r="G32" s="185">
        <f t="shared" ca="1" si="3"/>
        <v>20105847.583178889</v>
      </c>
      <c r="H32" s="196">
        <f>Data!U31</f>
        <v>18.200000000000003</v>
      </c>
      <c r="I32" s="187">
        <f>Data!X31</f>
        <v>133.49999999999997</v>
      </c>
      <c r="J32" s="187">
        <f>Data!AG31</f>
        <v>30</v>
      </c>
      <c r="K32" s="187">
        <f>Data!AU31</f>
        <v>0</v>
      </c>
      <c r="L32" s="188">
        <f>Data!M31</f>
        <v>144.11102514480621</v>
      </c>
      <c r="M32" s="187">
        <f>Data!AX31</f>
        <v>30</v>
      </c>
      <c r="N32" s="189">
        <f>Data!K31</f>
        <v>11545.500000000004</v>
      </c>
      <c r="O32" s="191"/>
      <c r="P32" s="190">
        <f t="shared" si="4"/>
        <v>21229327.009620458</v>
      </c>
      <c r="Q32" s="92">
        <f t="shared" ca="1" si="5"/>
        <v>1123479.4264415689</v>
      </c>
      <c r="R32" s="93">
        <f t="shared" ca="1" si="1"/>
        <v>5.6351855345452249E-2</v>
      </c>
      <c r="S32"/>
      <c r="W32" s="184"/>
    </row>
    <row r="33" spans="1:23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6">
        <f>Data!D32</f>
        <v>23686275</v>
      </c>
      <c r="E33" s="186">
        <f>Data!E32</f>
        <v>4244297.978099999</v>
      </c>
      <c r="F33" s="185">
        <f ca="1">Data!F32</f>
        <v>173148.53050606482</v>
      </c>
      <c r="G33" s="185">
        <f t="shared" ca="1" si="3"/>
        <v>23859423.530506063</v>
      </c>
      <c r="H33" s="196">
        <f>Data!U32</f>
        <v>2.6000000000000014</v>
      </c>
      <c r="I33" s="187">
        <f>Data!X32</f>
        <v>208.19999999999993</v>
      </c>
      <c r="J33" s="187">
        <f>Data!AG32</f>
        <v>31</v>
      </c>
      <c r="K33" s="187">
        <f>Data!AU32</f>
        <v>0</v>
      </c>
      <c r="L33" s="188">
        <f>Data!M32</f>
        <v>144.27991587972946</v>
      </c>
      <c r="M33" s="187">
        <f>Data!AX32</f>
        <v>31</v>
      </c>
      <c r="N33" s="189">
        <f>Data!K32</f>
        <v>11553.583333333338</v>
      </c>
      <c r="O33" s="191"/>
      <c r="P33" s="190">
        <f t="shared" si="4"/>
        <v>24942516.538450003</v>
      </c>
      <c r="Q33" s="92">
        <f t="shared" ca="1" si="5"/>
        <v>1083093.0079439394</v>
      </c>
      <c r="R33" s="93">
        <f t="shared" ca="1" si="1"/>
        <v>4.5726607832761355E-2</v>
      </c>
      <c r="S33"/>
      <c r="W33" s="184"/>
    </row>
    <row r="34" spans="1:23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6">
        <f>Data!D33</f>
        <v>22403900.000000004</v>
      </c>
      <c r="E34" s="186">
        <f>Data!E33</f>
        <v>5299604.6619999995</v>
      </c>
      <c r="F34" s="185">
        <f ca="1">Data!F33</f>
        <v>177316.14449990683</v>
      </c>
      <c r="G34" s="185">
        <f t="shared" ca="1" si="3"/>
        <v>22581216.144499909</v>
      </c>
      <c r="H34" s="196">
        <f>Data!U33</f>
        <v>3.9000000000000021</v>
      </c>
      <c r="I34" s="187">
        <f>Data!X33</f>
        <v>173.40000000000003</v>
      </c>
      <c r="J34" s="187">
        <f>Data!AG33</f>
        <v>31</v>
      </c>
      <c r="K34" s="187">
        <f>Data!AU33</f>
        <v>0</v>
      </c>
      <c r="L34" s="188">
        <f>Data!M33</f>
        <v>144.44880661465271</v>
      </c>
      <c r="M34" s="187">
        <f>Data!AX33</f>
        <v>32</v>
      </c>
      <c r="N34" s="189">
        <f>Data!K33</f>
        <v>11561.666666666672</v>
      </c>
      <c r="O34" s="191"/>
      <c r="P34" s="190">
        <f t="shared" si="4"/>
        <v>23377700.99495434</v>
      </c>
      <c r="Q34" s="92">
        <f t="shared" ca="1" si="5"/>
        <v>796484.85045443103</v>
      </c>
      <c r="R34" s="93">
        <f t="shared" ca="1" si="1"/>
        <v>3.5551169682708404E-2</v>
      </c>
      <c r="S34"/>
      <c r="W34" s="184"/>
    </row>
    <row r="35" spans="1:23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6">
        <f>Data!D34</f>
        <v>18880325</v>
      </c>
      <c r="E35" s="186">
        <f>Data!E34</f>
        <v>4825504.0060000001</v>
      </c>
      <c r="F35" s="185">
        <f ca="1">Data!F34</f>
        <v>181483.75849374884</v>
      </c>
      <c r="G35" s="185">
        <f t="shared" ca="1" si="3"/>
        <v>19061808.758493748</v>
      </c>
      <c r="H35" s="196">
        <f>Data!U34</f>
        <v>53.7</v>
      </c>
      <c r="I35" s="187">
        <f>Data!X34</f>
        <v>78.100000000000009</v>
      </c>
      <c r="J35" s="187">
        <f>Data!AG34</f>
        <v>30</v>
      </c>
      <c r="K35" s="187">
        <f>Data!AU34</f>
        <v>0</v>
      </c>
      <c r="L35" s="188">
        <f>Data!M34</f>
        <v>144.61769734957596</v>
      </c>
      <c r="M35" s="187">
        <f>Data!AX34</f>
        <v>33</v>
      </c>
      <c r="N35" s="189">
        <f>Data!K34</f>
        <v>11569.750000000005</v>
      </c>
      <c r="O35" s="191"/>
      <c r="P35" s="190">
        <f t="shared" si="4"/>
        <v>19112290.103324465</v>
      </c>
      <c r="Q35" s="92">
        <f t="shared" ca="1" si="5"/>
        <v>50481.344830717891</v>
      </c>
      <c r="R35" s="93">
        <f t="shared" ca="1" si="1"/>
        <v>2.6737540180435397E-3</v>
      </c>
      <c r="S35"/>
      <c r="W35" s="184"/>
    </row>
    <row r="36" spans="1:23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6">
        <f>Data!D35</f>
        <v>18114283.333333336</v>
      </c>
      <c r="E36" s="186">
        <f>Data!E35</f>
        <v>3980625.1063999999</v>
      </c>
      <c r="F36" s="185">
        <f ca="1">Data!F35</f>
        <v>185651.37248759085</v>
      </c>
      <c r="G36" s="185">
        <f t="shared" ca="1" si="3"/>
        <v>18299934.705820926</v>
      </c>
      <c r="H36" s="196">
        <f>Data!U35</f>
        <v>187.09999999999997</v>
      </c>
      <c r="I36" s="187">
        <f>Data!X35</f>
        <v>26.599999999999998</v>
      </c>
      <c r="J36" s="187">
        <f>Data!AG35</f>
        <v>31</v>
      </c>
      <c r="K36" s="187">
        <f>Data!AU35</f>
        <v>0</v>
      </c>
      <c r="L36" s="188">
        <f>Data!M35</f>
        <v>144.78658808449921</v>
      </c>
      <c r="M36" s="187">
        <f>Data!AX35</f>
        <v>34</v>
      </c>
      <c r="N36" s="189">
        <f>Data!K35</f>
        <v>11577.833333333339</v>
      </c>
      <c r="O36" s="191"/>
      <c r="P36" s="190">
        <f t="shared" si="4"/>
        <v>18723528.97532022</v>
      </c>
      <c r="Q36" s="92">
        <f t="shared" ca="1" si="5"/>
        <v>423594.26949929446</v>
      </c>
      <c r="R36" s="93">
        <f t="shared" ca="1" si="1"/>
        <v>2.338454476527976E-2</v>
      </c>
      <c r="S36"/>
      <c r="W36" s="184"/>
    </row>
    <row r="37" spans="1:23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6">
        <f>Data!D36</f>
        <v>19414258.333333336</v>
      </c>
      <c r="E37" s="186">
        <f>Data!E36</f>
        <v>3873271.5369000002</v>
      </c>
      <c r="F37" s="185">
        <f ca="1">Data!F36</f>
        <v>189818.98648143286</v>
      </c>
      <c r="G37" s="185">
        <f t="shared" ca="1" si="3"/>
        <v>19604077.319814768</v>
      </c>
      <c r="H37" s="196">
        <f>Data!U36</f>
        <v>442.7</v>
      </c>
      <c r="I37" s="187">
        <f>Data!X36</f>
        <v>0</v>
      </c>
      <c r="J37" s="187">
        <f>Data!AG36</f>
        <v>30</v>
      </c>
      <c r="K37" s="187">
        <f>Data!AU36</f>
        <v>0</v>
      </c>
      <c r="L37" s="188">
        <f>Data!M36</f>
        <v>144.95547881942247</v>
      </c>
      <c r="M37" s="187">
        <f>Data!AX36</f>
        <v>35</v>
      </c>
      <c r="N37" s="189">
        <f>Data!K36</f>
        <v>11585.916666666673</v>
      </c>
      <c r="O37" s="191"/>
      <c r="P37" s="190">
        <f t="shared" si="4"/>
        <v>19849567.161753289</v>
      </c>
      <c r="Q37" s="92">
        <f t="shared" ca="1" si="5"/>
        <v>245489.84193852171</v>
      </c>
      <c r="R37" s="93">
        <f t="shared" ca="1" si="1"/>
        <v>1.2644822054161483E-2</v>
      </c>
      <c r="S37"/>
    </row>
    <row r="38" spans="1:23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6">
        <f>Data!D37</f>
        <v>22361725</v>
      </c>
      <c r="E38" s="186">
        <f>Data!E37</f>
        <v>4755196.7389000002</v>
      </c>
      <c r="F38" s="185">
        <f ca="1">Data!F37</f>
        <v>193986.60047527484</v>
      </c>
      <c r="G38" s="185">
        <f t="shared" ca="1" si="3"/>
        <v>22555711.600475274</v>
      </c>
      <c r="H38" s="196">
        <f>Data!U37</f>
        <v>635.79999999999995</v>
      </c>
      <c r="I38" s="187">
        <f>Data!X37</f>
        <v>0</v>
      </c>
      <c r="J38" s="187">
        <f>Data!AG37</f>
        <v>31</v>
      </c>
      <c r="K38" s="187">
        <f>Data!AU37</f>
        <v>0</v>
      </c>
      <c r="L38" s="188">
        <f>Data!M37</f>
        <v>145.12436955434572</v>
      </c>
      <c r="M38" s="187">
        <f>Data!AX37</f>
        <v>36</v>
      </c>
      <c r="N38" s="189">
        <f>Data!K37</f>
        <v>11559</v>
      </c>
      <c r="O38" s="191"/>
      <c r="P38" s="190">
        <f t="shared" si="4"/>
        <v>22461305.413715549</v>
      </c>
      <c r="Q38" s="92">
        <f t="shared" ca="1" si="5"/>
        <v>-94406.186759725213</v>
      </c>
      <c r="R38" s="93">
        <f t="shared" ca="1" si="1"/>
        <v>4.2217756796367545E-3</v>
      </c>
      <c r="S38"/>
      <c r="W38" s="184"/>
    </row>
    <row r="39" spans="1:23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6">
        <f>Data!D38</f>
        <v>24264791.666666668</v>
      </c>
      <c r="E39" s="186">
        <f>Data!E38</f>
        <v>5851666.1732000001</v>
      </c>
      <c r="F39" s="185">
        <f ca="1">Data!F38</f>
        <v>203860.51658636567</v>
      </c>
      <c r="G39" s="185">
        <f t="shared" ca="1" si="3"/>
        <v>24468652.183253035</v>
      </c>
      <c r="H39" s="196">
        <f>Data!U38</f>
        <v>809.69999999999993</v>
      </c>
      <c r="I39" s="187">
        <f>Data!X38</f>
        <v>0</v>
      </c>
      <c r="J39" s="187">
        <f>Data!AG38</f>
        <v>31</v>
      </c>
      <c r="K39" s="187">
        <f>Data!AU38</f>
        <v>0</v>
      </c>
      <c r="L39" s="188">
        <f>Data!M38</f>
        <v>145.42343989373933</v>
      </c>
      <c r="M39" s="187">
        <f>Data!AX38</f>
        <v>37</v>
      </c>
      <c r="N39" s="189">
        <f>Data!K38</f>
        <v>11563.166666666666</v>
      </c>
      <c r="O39" s="191"/>
      <c r="P39" s="190">
        <f t="shared" si="4"/>
        <v>24383296.162336174</v>
      </c>
      <c r="Q39" s="92">
        <f t="shared" ca="1" si="5"/>
        <v>-85356.020916860551</v>
      </c>
      <c r="R39" s="93">
        <f t="shared" ca="1" si="1"/>
        <v>3.5176902439313703E-3</v>
      </c>
      <c r="S39"/>
    </row>
    <row r="40" spans="1:23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6">
        <f>Data!D39</f>
        <v>20828400.000000004</v>
      </c>
      <c r="E40" s="186">
        <f>Data!E39</f>
        <v>6455879.2321999995</v>
      </c>
      <c r="F40" s="185">
        <f ca="1">Data!F39</f>
        <v>209554.41711869786</v>
      </c>
      <c r="G40" s="185">
        <f t="shared" ca="1" si="3"/>
        <v>21037954.417118702</v>
      </c>
      <c r="H40" s="196">
        <f>Data!U39</f>
        <v>705.10000000000014</v>
      </c>
      <c r="I40" s="187">
        <f>Data!X39</f>
        <v>0</v>
      </c>
      <c r="J40" s="187">
        <f>Data!AG39</f>
        <v>28</v>
      </c>
      <c r="K40" s="187">
        <f>Data!AU39</f>
        <v>0</v>
      </c>
      <c r="L40" s="188">
        <f>Data!M39</f>
        <v>145.72251023313294</v>
      </c>
      <c r="M40" s="187">
        <f>Data!AX39</f>
        <v>38</v>
      </c>
      <c r="N40" s="189">
        <f>Data!K39</f>
        <v>11567.333333333332</v>
      </c>
      <c r="O40" s="191"/>
      <c r="P40" s="190">
        <f t="shared" si="4"/>
        <v>21794325.592918713</v>
      </c>
      <c r="Q40" s="92">
        <f t="shared" ca="1" si="5"/>
        <v>756371.17580001056</v>
      </c>
      <c r="R40" s="93">
        <f t="shared" ca="1" si="1"/>
        <v>3.6314415692036375E-2</v>
      </c>
      <c r="S40"/>
    </row>
    <row r="41" spans="1:23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6">
        <f>Data!D40</f>
        <v>21052908.333333336</v>
      </c>
      <c r="E41" s="186">
        <f>Data!E40</f>
        <v>5377054.6365999999</v>
      </c>
      <c r="F41" s="185">
        <f ca="1">Data!F40</f>
        <v>215248.31765103003</v>
      </c>
      <c r="G41" s="185">
        <f t="shared" ca="1" si="3"/>
        <v>21268156.650984365</v>
      </c>
      <c r="H41" s="196">
        <f>Data!U40</f>
        <v>637.10000000000014</v>
      </c>
      <c r="I41" s="187">
        <f>Data!X40</f>
        <v>0</v>
      </c>
      <c r="J41" s="187">
        <f>Data!AG40</f>
        <v>31</v>
      </c>
      <c r="K41" s="187">
        <f>Data!AU40</f>
        <v>1</v>
      </c>
      <c r="L41" s="188">
        <f>Data!M40</f>
        <v>146.02158057252655</v>
      </c>
      <c r="M41" s="187">
        <f>Data!AX40</f>
        <v>39</v>
      </c>
      <c r="N41" s="189">
        <f>Data!K40</f>
        <v>11571.499999999998</v>
      </c>
      <c r="O41" s="191"/>
      <c r="P41" s="190">
        <f t="shared" si="4"/>
        <v>21883930.196440041</v>
      </c>
      <c r="Q41" s="92">
        <f t="shared" ca="1" si="5"/>
        <v>615773.54545567557</v>
      </c>
      <c r="R41" s="93">
        <f t="shared" ca="1" si="1"/>
        <v>2.9248858908520185E-2</v>
      </c>
      <c r="S41"/>
      <c r="V41" s="184"/>
    </row>
    <row r="42" spans="1:23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6">
        <f>Data!D41</f>
        <v>17638016.666666668</v>
      </c>
      <c r="E42" s="186">
        <f>Data!E41</f>
        <v>5351869.0661999993</v>
      </c>
      <c r="F42" s="185">
        <f ca="1">Data!F41</f>
        <v>220942.21818336219</v>
      </c>
      <c r="G42" s="185">
        <f t="shared" ca="1" si="3"/>
        <v>17858958.884850029</v>
      </c>
      <c r="H42" s="196">
        <f>Data!U41</f>
        <v>283.40000000000003</v>
      </c>
      <c r="I42" s="187">
        <f>Data!X41</f>
        <v>0.30000000000000071</v>
      </c>
      <c r="J42" s="187">
        <f>Data!AG41</f>
        <v>30</v>
      </c>
      <c r="K42" s="187">
        <f>Data!AU41</f>
        <v>1</v>
      </c>
      <c r="L42" s="188">
        <f>Data!M41</f>
        <v>146.32065091192015</v>
      </c>
      <c r="M42" s="187">
        <f>Data!AX41</f>
        <v>40</v>
      </c>
      <c r="N42" s="189">
        <f>Data!K41</f>
        <v>11575.666666666664</v>
      </c>
      <c r="O42" s="191"/>
      <c r="P42" s="190">
        <f t="shared" si="4"/>
        <v>17529809.796851333</v>
      </c>
      <c r="Q42" s="92">
        <f t="shared" ca="1" si="5"/>
        <v>-329149.08799869567</v>
      </c>
      <c r="R42" s="93">
        <f t="shared" ca="1" si="1"/>
        <v>1.8661343518329952E-2</v>
      </c>
      <c r="S42"/>
      <c r="V42" s="245"/>
    </row>
    <row r="43" spans="1:23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6">
        <f>Data!D42</f>
        <v>18077492.307692308</v>
      </c>
      <c r="E43" s="186">
        <f>Data!E42</f>
        <v>4532702.1191399992</v>
      </c>
      <c r="F43" s="185">
        <f ca="1">Data!F42</f>
        <v>226636.11871569435</v>
      </c>
      <c r="G43" s="185">
        <f t="shared" ca="1" si="3"/>
        <v>18304128.426408004</v>
      </c>
      <c r="H43" s="196">
        <f>Data!U42</f>
        <v>103.4</v>
      </c>
      <c r="I43" s="187">
        <f>Data!X42</f>
        <v>53.099999999999994</v>
      </c>
      <c r="J43" s="187">
        <f>Data!AG42</f>
        <v>31</v>
      </c>
      <c r="K43" s="187">
        <f>Data!AU42</f>
        <v>1</v>
      </c>
      <c r="L43" s="188">
        <f>Data!M42</f>
        <v>146.61972125131376</v>
      </c>
      <c r="M43" s="187">
        <f>Data!AX42</f>
        <v>41</v>
      </c>
      <c r="N43" s="189">
        <f>Data!K42</f>
        <v>11579.83333333333</v>
      </c>
      <c r="O43" s="191"/>
      <c r="P43" s="190">
        <f t="shared" si="4"/>
        <v>18440058.190101918</v>
      </c>
      <c r="Q43" s="92">
        <f t="shared" ca="1" si="5"/>
        <v>135929.76369391382</v>
      </c>
      <c r="R43" s="93">
        <f t="shared" ca="1" si="1"/>
        <v>7.519282065249348E-3</v>
      </c>
      <c r="S43"/>
      <c r="V43" s="184"/>
    </row>
    <row r="44" spans="1:23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6">
        <f>Data!D43</f>
        <v>21714569.230769232</v>
      </c>
      <c r="E44" s="186">
        <f>Data!E43</f>
        <v>4769608.2417399995</v>
      </c>
      <c r="F44" s="185">
        <f ca="1">Data!F43</f>
        <v>232330.01924802654</v>
      </c>
      <c r="G44" s="185">
        <f t="shared" ca="1" si="3"/>
        <v>21946899.250017259</v>
      </c>
      <c r="H44" s="196">
        <f>Data!U43</f>
        <v>4.9999999999999964</v>
      </c>
      <c r="I44" s="187">
        <f>Data!X43</f>
        <v>160.5</v>
      </c>
      <c r="J44" s="187">
        <f>Data!AG43</f>
        <v>30</v>
      </c>
      <c r="K44" s="187">
        <f>Data!AU43</f>
        <v>0</v>
      </c>
      <c r="L44" s="188">
        <f>Data!M43</f>
        <v>146.91879159070737</v>
      </c>
      <c r="M44" s="187">
        <f>Data!AX43</f>
        <v>42</v>
      </c>
      <c r="N44" s="189">
        <f>Data!K43</f>
        <v>11583.999999999996</v>
      </c>
      <c r="O44" s="191"/>
      <c r="P44" s="190">
        <f t="shared" si="4"/>
        <v>22384088.094223112</v>
      </c>
      <c r="Q44" s="92">
        <f t="shared" ca="1" si="5"/>
        <v>437188.8442058526</v>
      </c>
      <c r="R44" s="93">
        <f t="shared" ca="1" si="1"/>
        <v>2.0133433896830994E-2</v>
      </c>
      <c r="S44"/>
      <c r="V44" s="184"/>
    </row>
    <row r="45" spans="1:23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6">
        <f>Data!D44</f>
        <v>22619392.307692308</v>
      </c>
      <c r="E45" s="186">
        <f>Data!E44</f>
        <v>5499725.0896799993</v>
      </c>
      <c r="F45" s="185">
        <f ca="1">Data!F44</f>
        <v>238023.9197803587</v>
      </c>
      <c r="G45" s="185">
        <f t="shared" ca="1" si="3"/>
        <v>22857416.227472667</v>
      </c>
      <c r="H45" s="196">
        <f>Data!U44</f>
        <v>4.4000000000000021</v>
      </c>
      <c r="I45" s="187">
        <f>Data!X44</f>
        <v>142.1</v>
      </c>
      <c r="J45" s="187">
        <f>Data!AG44</f>
        <v>31</v>
      </c>
      <c r="K45" s="187">
        <f>Data!AU44</f>
        <v>0</v>
      </c>
      <c r="L45" s="188">
        <f>Data!M44</f>
        <v>147.21786193010098</v>
      </c>
      <c r="M45" s="187">
        <f>Data!AX44</f>
        <v>43</v>
      </c>
      <c r="N45" s="189">
        <f>Data!K44</f>
        <v>11588.166666666662</v>
      </c>
      <c r="O45" s="191"/>
      <c r="P45" s="190">
        <f t="shared" si="4"/>
        <v>22029590.637793034</v>
      </c>
      <c r="Q45" s="92">
        <f t="shared" ca="1" si="5"/>
        <v>-827825.58967963234</v>
      </c>
      <c r="R45" s="93">
        <f t="shared" ca="1" si="1"/>
        <v>3.6598047304662068E-2</v>
      </c>
      <c r="S45"/>
    </row>
    <row r="46" spans="1:23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6">
        <f>Data!D45</f>
        <v>23222976.923076924</v>
      </c>
      <c r="E46" s="186">
        <f>Data!E45</f>
        <v>5776255.4186199997</v>
      </c>
      <c r="F46" s="185">
        <f ca="1">Data!F45</f>
        <v>243717.82031269086</v>
      </c>
      <c r="G46" s="185">
        <f t="shared" ca="1" si="3"/>
        <v>23466694.743389614</v>
      </c>
      <c r="H46" s="196">
        <f>Data!U45</f>
        <v>3.8000000000000007</v>
      </c>
      <c r="I46" s="187">
        <f>Data!X45</f>
        <v>154</v>
      </c>
      <c r="J46" s="187">
        <f>Data!AG45</f>
        <v>31</v>
      </c>
      <c r="K46" s="187">
        <f>Data!AU45</f>
        <v>0</v>
      </c>
      <c r="L46" s="188">
        <f>Data!M45</f>
        <v>147.51693226949459</v>
      </c>
      <c r="M46" s="187">
        <f>Data!AX45</f>
        <v>44</v>
      </c>
      <c r="N46" s="189">
        <f>Data!K45</f>
        <v>11592.333333333328</v>
      </c>
      <c r="O46" s="191"/>
      <c r="P46" s="190">
        <f t="shared" si="4"/>
        <v>22572067.012412816</v>
      </c>
      <c r="Q46" s="92">
        <f t="shared" ca="1" si="5"/>
        <v>-894627.73097679764</v>
      </c>
      <c r="R46" s="93">
        <f t="shared" ca="1" si="1"/>
        <v>3.8523387158336121E-2</v>
      </c>
      <c r="S46"/>
    </row>
    <row r="47" spans="1:23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6">
        <f>Data!D46</f>
        <v>19789369.230769232</v>
      </c>
      <c r="E47" s="186">
        <f>Data!E46</f>
        <v>5942311.7742699999</v>
      </c>
      <c r="F47" s="185">
        <f ca="1">Data!F46</f>
        <v>249411.72084502305</v>
      </c>
      <c r="G47" s="185">
        <f t="shared" ca="1" si="3"/>
        <v>20038780.951614253</v>
      </c>
      <c r="H47" s="196">
        <f>Data!U46</f>
        <v>76.799999999999983</v>
      </c>
      <c r="I47" s="187">
        <f>Data!X46</f>
        <v>54.7</v>
      </c>
      <c r="J47" s="187">
        <f>Data!AG46</f>
        <v>30</v>
      </c>
      <c r="K47" s="187">
        <f>Data!AU46</f>
        <v>0</v>
      </c>
      <c r="L47" s="188">
        <f>Data!M46</f>
        <v>147.8160026088882</v>
      </c>
      <c r="M47" s="187">
        <f>Data!AX46</f>
        <v>45</v>
      </c>
      <c r="N47" s="189">
        <f>Data!K46</f>
        <v>11596.499999999995</v>
      </c>
      <c r="O47" s="191"/>
      <c r="P47" s="190">
        <f t="shared" si="4"/>
        <v>18383366.017936178</v>
      </c>
      <c r="Q47" s="92">
        <f t="shared" ca="1" si="5"/>
        <v>-1655414.9336780757</v>
      </c>
      <c r="R47" s="93">
        <f t="shared" ca="1" si="1"/>
        <v>8.3651728075505125E-2</v>
      </c>
      <c r="S47"/>
    </row>
    <row r="48" spans="1:23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6">
        <f>Data!D47</f>
        <v>18224553.846153844</v>
      </c>
      <c r="E48" s="186">
        <f>Data!E47</f>
        <v>4937879.0150799993</v>
      </c>
      <c r="F48" s="185">
        <f ca="1">Data!F47</f>
        <v>255105.62137735522</v>
      </c>
      <c r="G48" s="185">
        <f t="shared" ca="1" si="3"/>
        <v>18479659.4675312</v>
      </c>
      <c r="H48" s="196">
        <f>Data!U47</f>
        <v>219.2</v>
      </c>
      <c r="I48" s="187">
        <f>Data!X47</f>
        <v>2.6999999999999993</v>
      </c>
      <c r="J48" s="187">
        <f>Data!AG47</f>
        <v>31</v>
      </c>
      <c r="K48" s="187">
        <f>Data!AU47</f>
        <v>0</v>
      </c>
      <c r="L48" s="188">
        <f>Data!M47</f>
        <v>148.11507294828181</v>
      </c>
      <c r="M48" s="187">
        <f>Data!AX47</f>
        <v>46</v>
      </c>
      <c r="N48" s="189">
        <f>Data!K47</f>
        <v>11600.666666666661</v>
      </c>
      <c r="O48" s="191"/>
      <c r="P48" s="190">
        <f t="shared" si="4"/>
        <v>18074247.827508636</v>
      </c>
      <c r="Q48" s="92">
        <f t="shared" ca="1" si="5"/>
        <v>-405411.64002256468</v>
      </c>
      <c r="R48" s="93">
        <f t="shared" ca="1" si="1"/>
        <v>2.224535335377353E-2</v>
      </c>
      <c r="S48"/>
    </row>
    <row r="49" spans="1:26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6">
        <f>Data!D48</f>
        <v>20282892.307692308</v>
      </c>
      <c r="E49" s="186">
        <f>Data!E48</f>
        <v>4763007.1476699999</v>
      </c>
      <c r="F49" s="185">
        <f ca="1">Data!F48</f>
        <v>260799.52190968738</v>
      </c>
      <c r="G49" s="185">
        <f t="shared" ca="1" si="3"/>
        <v>20543691.829601996</v>
      </c>
      <c r="H49" s="196">
        <f>Data!U48</f>
        <v>479.30000000000013</v>
      </c>
      <c r="I49" s="187">
        <f>Data!X48</f>
        <v>0</v>
      </c>
      <c r="J49" s="187">
        <f>Data!AG48</f>
        <v>30</v>
      </c>
      <c r="K49" s="187">
        <f>Data!AU48</f>
        <v>0</v>
      </c>
      <c r="L49" s="188">
        <f>Data!M48</f>
        <v>148.41414328767499</v>
      </c>
      <c r="M49" s="187">
        <f>Data!AX48</f>
        <v>47</v>
      </c>
      <c r="N49" s="189">
        <f>Data!K48</f>
        <v>11604.833333333327</v>
      </c>
      <c r="O49" s="191"/>
      <c r="P49" s="190">
        <f t="shared" si="4"/>
        <v>20340612.167023305</v>
      </c>
      <c r="Q49" s="92">
        <f t="shared" ca="1" si="5"/>
        <v>-203079.6625786908</v>
      </c>
      <c r="R49" s="93">
        <f t="shared" ca="1" si="1"/>
        <v>1.0012362117688346E-2</v>
      </c>
      <c r="S49"/>
      <c r="U49" s="109"/>
      <c r="V49" s="109"/>
      <c r="W49" s="123"/>
      <c r="X49" s="100"/>
      <c r="Y49" s="112"/>
      <c r="Z49" s="226"/>
    </row>
    <row r="50" spans="1:26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6">
        <f>Data!D49</f>
        <v>22057292.307692308</v>
      </c>
      <c r="E50" s="186">
        <f>Data!E49</f>
        <v>5830346.3885199996</v>
      </c>
      <c r="F50" s="185">
        <f ca="1">Data!F49</f>
        <v>266493.42244201957</v>
      </c>
      <c r="G50" s="185">
        <f t="shared" ca="1" si="3"/>
        <v>22323785.730134327</v>
      </c>
      <c r="H50" s="196">
        <f>Data!U49</f>
        <v>545.20000000000005</v>
      </c>
      <c r="I50" s="187">
        <f>Data!X49</f>
        <v>0</v>
      </c>
      <c r="J50" s="187">
        <f>Data!AG49</f>
        <v>31</v>
      </c>
      <c r="K50" s="187">
        <f>Data!AU49</f>
        <v>0</v>
      </c>
      <c r="L50" s="188">
        <f>Data!M49</f>
        <v>148.71321362706902</v>
      </c>
      <c r="M50" s="187">
        <f>Data!AX49</f>
        <v>48</v>
      </c>
      <c r="N50" s="189">
        <f>Data!K49</f>
        <v>11656</v>
      </c>
      <c r="O50" s="191"/>
      <c r="P50" s="190">
        <f t="shared" si="4"/>
        <v>21555392.737436078</v>
      </c>
      <c r="Q50" s="92">
        <f t="shared" ca="1" si="5"/>
        <v>-768392.99269824848</v>
      </c>
      <c r="R50" s="93">
        <f t="shared" ca="1" si="1"/>
        <v>3.4836233839557786E-2</v>
      </c>
      <c r="S50"/>
      <c r="U50" s="109"/>
      <c r="V50" s="109"/>
      <c r="W50" s="123"/>
      <c r="X50" s="100"/>
      <c r="Y50" s="112"/>
      <c r="Z50" s="226"/>
    </row>
    <row r="51" spans="1:26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6">
        <f>Data!D50</f>
        <v>24198407.692307692</v>
      </c>
      <c r="E51" s="186">
        <f>Data!E50</f>
        <v>6302302.4270000001</v>
      </c>
      <c r="F51" s="185">
        <f ca="1">Data!F50</f>
        <v>292317.35638691939</v>
      </c>
      <c r="G51" s="185">
        <f t="shared" ca="1" si="3"/>
        <v>24490725.048694611</v>
      </c>
      <c r="H51" s="196">
        <f>Data!U50</f>
        <v>766.90000000000009</v>
      </c>
      <c r="I51" s="187">
        <f>Data!X50</f>
        <v>0</v>
      </c>
      <c r="J51" s="187">
        <f>Data!AG50</f>
        <v>31</v>
      </c>
      <c r="K51" s="187">
        <f>Data!AU50</f>
        <v>0</v>
      </c>
      <c r="L51" s="188">
        <f>Data!M50</f>
        <v>149.04230706618222</v>
      </c>
      <c r="M51" s="187">
        <f>Data!AX50</f>
        <v>49</v>
      </c>
      <c r="N51" s="189">
        <f>Data!K50</f>
        <v>11663.166666666666</v>
      </c>
      <c r="O51" s="191"/>
      <c r="P51" s="190">
        <f t="shared" si="4"/>
        <v>24004352.51980149</v>
      </c>
      <c r="Q51" s="92">
        <f t="shared" ca="1" si="5"/>
        <v>-486372.52889312059</v>
      </c>
      <c r="R51" s="93">
        <f t="shared" ca="1" si="1"/>
        <v>2.0099360878514789E-2</v>
      </c>
      <c r="S51"/>
      <c r="U51" s="109"/>
      <c r="V51" s="109"/>
      <c r="W51" s="123"/>
      <c r="X51" s="100"/>
      <c r="Y51" s="112"/>
      <c r="Z51" s="226"/>
    </row>
    <row r="52" spans="1:26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6">
        <f>Data!D51</f>
        <v>22363023.07692308</v>
      </c>
      <c r="E52" s="186">
        <f>Data!E51</f>
        <v>7035744.3120299997</v>
      </c>
      <c r="F52" s="185">
        <f ca="1">Data!F51</f>
        <v>305441.31464606267</v>
      </c>
      <c r="G52" s="185">
        <f t="shared" ca="1" si="3"/>
        <v>22668464.391569141</v>
      </c>
      <c r="H52" s="196">
        <f>Data!U51</f>
        <v>811.10000000000014</v>
      </c>
      <c r="I52" s="187">
        <f>Data!X51</f>
        <v>0</v>
      </c>
      <c r="J52" s="187">
        <f>Data!AG51</f>
        <v>28</v>
      </c>
      <c r="K52" s="187">
        <f>Data!AU51</f>
        <v>0</v>
      </c>
      <c r="L52" s="188">
        <f>Data!M51</f>
        <v>149.37140050529541</v>
      </c>
      <c r="M52" s="187">
        <f>Data!AX51</f>
        <v>50</v>
      </c>
      <c r="N52" s="189">
        <f>Data!K51</f>
        <v>11670.333333333332</v>
      </c>
      <c r="O52" s="191"/>
      <c r="P52" s="190">
        <f t="shared" si="4"/>
        <v>23054204.556110267</v>
      </c>
      <c r="Q52" s="92">
        <f t="shared" ca="1" si="5"/>
        <v>385740.1645411253</v>
      </c>
      <c r="R52" s="93">
        <f t="shared" ca="1" si="1"/>
        <v>1.7249016969408733E-2</v>
      </c>
      <c r="S52"/>
      <c r="U52" s="109"/>
      <c r="V52" s="109"/>
      <c r="W52" s="123"/>
      <c r="X52" s="100"/>
      <c r="Y52" s="112"/>
      <c r="Z52" s="226"/>
    </row>
    <row r="53" spans="1:26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6">
        <f>Data!D52</f>
        <v>20856446.153846156</v>
      </c>
      <c r="E53" s="186">
        <f>Data!E52</f>
        <v>6572816.4936800003</v>
      </c>
      <c r="F53" s="185">
        <f ca="1">Data!F52</f>
        <v>318565.27290520596</v>
      </c>
      <c r="G53" s="185">
        <f t="shared" ca="1" si="3"/>
        <v>21175011.42675136</v>
      </c>
      <c r="H53" s="196">
        <f>Data!U52</f>
        <v>565.29999999999995</v>
      </c>
      <c r="I53" s="187">
        <f>Data!X52</f>
        <v>0</v>
      </c>
      <c r="J53" s="187">
        <f>Data!AG52</f>
        <v>31</v>
      </c>
      <c r="K53" s="187">
        <f>Data!AU52</f>
        <v>1</v>
      </c>
      <c r="L53" s="188">
        <f>Data!M52</f>
        <v>149.70049394440861</v>
      </c>
      <c r="M53" s="187">
        <f>Data!AX52</f>
        <v>51</v>
      </c>
      <c r="N53" s="189">
        <f>Data!K52</f>
        <v>11677.499999999998</v>
      </c>
      <c r="O53" s="191"/>
      <c r="P53" s="190">
        <f t="shared" si="4"/>
        <v>21187271.600910861</v>
      </c>
      <c r="Q53" s="92">
        <f t="shared" ca="1" si="5"/>
        <v>12260.174159500748</v>
      </c>
      <c r="R53" s="93">
        <f t="shared" ca="1" si="1"/>
        <v>5.8783620512643461E-4</v>
      </c>
      <c r="S53"/>
      <c r="U53" s="109"/>
      <c r="V53" s="109"/>
      <c r="W53" s="123"/>
      <c r="X53" s="100"/>
      <c r="Y53" s="112"/>
      <c r="Z53" s="226"/>
    </row>
    <row r="54" spans="1:26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6">
        <f>Data!D53</f>
        <v>17544146.153846156</v>
      </c>
      <c r="E54" s="186">
        <f>Data!E53</f>
        <v>5776693.9478900004</v>
      </c>
      <c r="F54" s="185">
        <f ca="1">Data!F53</f>
        <v>331689.23116434924</v>
      </c>
      <c r="G54" s="185">
        <f t="shared" ca="1" si="3"/>
        <v>17875835.385010503</v>
      </c>
      <c r="H54" s="196">
        <f>Data!U53</f>
        <v>283.2</v>
      </c>
      <c r="I54" s="187">
        <f>Data!X53</f>
        <v>0</v>
      </c>
      <c r="J54" s="187">
        <f>Data!AG53</f>
        <v>30</v>
      </c>
      <c r="K54" s="187">
        <f>Data!AU53</f>
        <v>1</v>
      </c>
      <c r="L54" s="188">
        <f>Data!M53</f>
        <v>150.0295873835218</v>
      </c>
      <c r="M54" s="187">
        <f>Data!AX53</f>
        <v>52</v>
      </c>
      <c r="N54" s="189">
        <f>Data!K53</f>
        <v>11684.666666666664</v>
      </c>
      <c r="O54" s="191"/>
      <c r="P54" s="190">
        <f t="shared" si="4"/>
        <v>17608471.11259051</v>
      </c>
      <c r="Q54" s="92">
        <f t="shared" ca="1" si="5"/>
        <v>-267364.27241999283</v>
      </c>
      <c r="R54" s="93">
        <f t="shared" ca="1" si="1"/>
        <v>1.5239514654942572E-2</v>
      </c>
      <c r="S54"/>
      <c r="U54" s="109"/>
      <c r="V54" s="109"/>
      <c r="W54" s="123"/>
      <c r="X54" s="100"/>
      <c r="Y54" s="112"/>
      <c r="Z54" s="226"/>
    </row>
    <row r="55" spans="1:26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6">
        <f>Data!D54</f>
        <v>17949553.846153844</v>
      </c>
      <c r="E55" s="186">
        <f>Data!E54</f>
        <v>4635765.9455300011</v>
      </c>
      <c r="F55" s="185">
        <f ca="1">Data!F54</f>
        <v>344813.18942349253</v>
      </c>
      <c r="G55" s="185">
        <f t="shared" ca="1" si="3"/>
        <v>18294367.035577338</v>
      </c>
      <c r="H55" s="196">
        <f>Data!U54</f>
        <v>79.599999999999994</v>
      </c>
      <c r="I55" s="187">
        <f>Data!X54</f>
        <v>74.399999999999991</v>
      </c>
      <c r="J55" s="187">
        <f>Data!AG54</f>
        <v>31</v>
      </c>
      <c r="K55" s="187">
        <f>Data!AU54</f>
        <v>1</v>
      </c>
      <c r="L55" s="188">
        <f>Data!M54</f>
        <v>150.35868082263499</v>
      </c>
      <c r="M55" s="187">
        <f>Data!AX54</f>
        <v>53</v>
      </c>
      <c r="N55" s="189">
        <f>Data!K54</f>
        <v>11691.83333333333</v>
      </c>
      <c r="O55" s="191"/>
      <c r="P55" s="190">
        <f t="shared" si="4"/>
        <v>19242503.931234516</v>
      </c>
      <c r="Q55" s="92">
        <f t="shared" ca="1" si="5"/>
        <v>948136.89565717801</v>
      </c>
      <c r="R55" s="93">
        <f t="shared" ca="1" si="1"/>
        <v>5.2822309890467885E-2</v>
      </c>
      <c r="S55"/>
      <c r="U55" s="109"/>
      <c r="V55" s="109"/>
      <c r="W55" s="123"/>
      <c r="X55" s="100"/>
      <c r="Y55" s="112"/>
      <c r="Z55" s="226"/>
    </row>
    <row r="56" spans="1:26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6">
        <f>Data!D55</f>
        <v>20138192.307692308</v>
      </c>
      <c r="E56" s="186">
        <f>Data!E55</f>
        <v>4475709.7344300002</v>
      </c>
      <c r="F56" s="185">
        <f ca="1">Data!F55</f>
        <v>357937.14768263581</v>
      </c>
      <c r="G56" s="185">
        <f t="shared" ca="1" si="3"/>
        <v>20496129.455374945</v>
      </c>
      <c r="H56" s="196">
        <f>Data!U55</f>
        <v>18.900000000000002</v>
      </c>
      <c r="I56" s="187">
        <f>Data!X55</f>
        <v>112.89999999999998</v>
      </c>
      <c r="J56" s="187">
        <f>Data!AG55</f>
        <v>30</v>
      </c>
      <c r="K56" s="187">
        <f>Data!AU55</f>
        <v>0</v>
      </c>
      <c r="L56" s="188">
        <f>Data!M55</f>
        <v>150.68777426174819</v>
      </c>
      <c r="M56" s="187">
        <f>Data!AX55</f>
        <v>54</v>
      </c>
      <c r="N56" s="189">
        <f>Data!K55</f>
        <v>11698.999999999996</v>
      </c>
      <c r="O56" s="191"/>
      <c r="P56" s="190">
        <f t="shared" si="4"/>
        <v>20467307.518244665</v>
      </c>
      <c r="Q56" s="92">
        <f t="shared" ca="1" si="5"/>
        <v>-28821.937130279839</v>
      </c>
      <c r="R56" s="93">
        <f t="shared" ca="1" si="1"/>
        <v>1.4312077613476035E-3</v>
      </c>
      <c r="S56"/>
      <c r="U56" s="109"/>
      <c r="V56" s="109"/>
      <c r="W56" s="123"/>
      <c r="X56" s="100"/>
      <c r="Y56" s="112"/>
      <c r="Z56" s="226"/>
    </row>
    <row r="57" spans="1:26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6">
        <f>Data!D56</f>
        <v>23747715.384615384</v>
      </c>
      <c r="E57" s="186">
        <f>Data!E56</f>
        <v>5049557.6763899997</v>
      </c>
      <c r="F57" s="185">
        <f ca="1">Data!F56</f>
        <v>371061.1059417791</v>
      </c>
      <c r="G57" s="185">
        <f t="shared" ca="1" si="3"/>
        <v>24118776.490557164</v>
      </c>
      <c r="H57" s="196">
        <f>Data!U56</f>
        <v>2.8999999999999986</v>
      </c>
      <c r="I57" s="187">
        <f>Data!X56</f>
        <v>179.79999999999998</v>
      </c>
      <c r="J57" s="187">
        <f>Data!AG56</f>
        <v>31</v>
      </c>
      <c r="K57" s="187">
        <f>Data!AU56</f>
        <v>0</v>
      </c>
      <c r="L57" s="188">
        <f>Data!M56</f>
        <v>151.01686770086138</v>
      </c>
      <c r="M57" s="187">
        <f>Data!AX56</f>
        <v>55</v>
      </c>
      <c r="N57" s="189">
        <f>Data!K56</f>
        <v>11706.166666666662</v>
      </c>
      <c r="O57" s="191"/>
      <c r="P57" s="190">
        <f t="shared" si="4"/>
        <v>23825269.252945907</v>
      </c>
      <c r="Q57" s="92">
        <f t="shared" ca="1" si="5"/>
        <v>-293507.23761125654</v>
      </c>
      <c r="R57" s="93">
        <f t="shared" ca="1" si="1"/>
        <v>1.2359388381477781E-2</v>
      </c>
      <c r="S57"/>
      <c r="U57" s="109"/>
      <c r="V57" s="109"/>
      <c r="W57" s="123"/>
      <c r="X57" s="100"/>
      <c r="Y57" s="112"/>
      <c r="Z57" s="226"/>
    </row>
    <row r="58" spans="1:26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6">
        <f>Data!D57</f>
        <v>23252784.615384616</v>
      </c>
      <c r="E58" s="186">
        <f>Data!E57</f>
        <v>6174414.08421</v>
      </c>
      <c r="F58" s="185">
        <f ca="1">Data!F57</f>
        <v>384185.06420092238</v>
      </c>
      <c r="G58" s="185">
        <f t="shared" ca="1" si="3"/>
        <v>23636969.679585539</v>
      </c>
      <c r="H58" s="196">
        <f>Data!U57</f>
        <v>8.5000000000000018</v>
      </c>
      <c r="I58" s="187">
        <f>Data!X57</f>
        <v>158.4</v>
      </c>
      <c r="J58" s="187">
        <f>Data!AG57</f>
        <v>31</v>
      </c>
      <c r="K58" s="187">
        <f>Data!AU57</f>
        <v>0</v>
      </c>
      <c r="L58" s="188">
        <f>Data!M57</f>
        <v>151.34596113997458</v>
      </c>
      <c r="M58" s="187">
        <f>Data!AX57</f>
        <v>56</v>
      </c>
      <c r="N58" s="189">
        <f>Data!K57</f>
        <v>11713.333333333328</v>
      </c>
      <c r="O58" s="191"/>
      <c r="P58" s="190">
        <f t="shared" si="4"/>
        <v>22921584.095585283</v>
      </c>
      <c r="Q58" s="92">
        <f t="shared" ca="1" si="5"/>
        <v>-715385.58400025591</v>
      </c>
      <c r="R58" s="93">
        <f t="shared" ca="1" si="1"/>
        <v>3.0765587684794499E-2</v>
      </c>
      <c r="S58"/>
      <c r="U58" s="109"/>
      <c r="V58" s="109"/>
      <c r="W58" s="123"/>
      <c r="X58" s="100"/>
      <c r="Y58" s="112"/>
      <c r="Z58" s="226"/>
    </row>
    <row r="59" spans="1:26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6">
        <f>Data!D58</f>
        <v>21319146.153846156</v>
      </c>
      <c r="E59" s="186">
        <f>Data!E58</f>
        <v>6162164.3651700001</v>
      </c>
      <c r="F59" s="185">
        <f ca="1">Data!F58</f>
        <v>397309.02246006567</v>
      </c>
      <c r="G59" s="185">
        <f t="shared" ca="1" si="3"/>
        <v>21716455.176306222</v>
      </c>
      <c r="H59" s="196">
        <f>Data!U58</f>
        <v>23.099999999999998</v>
      </c>
      <c r="I59" s="187">
        <f>Data!X58</f>
        <v>114.6</v>
      </c>
      <c r="J59" s="187">
        <f>Data!AG58</f>
        <v>30</v>
      </c>
      <c r="K59" s="187">
        <f>Data!AU58</f>
        <v>0</v>
      </c>
      <c r="L59" s="188">
        <f>Data!M58</f>
        <v>151.67505457908777</v>
      </c>
      <c r="M59" s="187">
        <f>Data!AX58</f>
        <v>57</v>
      </c>
      <c r="N59" s="189">
        <f>Data!K58</f>
        <v>11720.499999999995</v>
      </c>
      <c r="O59" s="191"/>
      <c r="P59" s="190">
        <f t="shared" si="4"/>
        <v>20616052.942397274</v>
      </c>
      <c r="Q59" s="92">
        <f t="shared" ca="1" si="5"/>
        <v>-1100402.2339089476</v>
      </c>
      <c r="R59" s="93">
        <f t="shared" ca="1" si="1"/>
        <v>5.1615680382697954E-2</v>
      </c>
      <c r="S59"/>
      <c r="U59" s="109"/>
      <c r="V59" s="109"/>
      <c r="W59" s="123"/>
      <c r="X59" s="100"/>
      <c r="Y59" s="112"/>
      <c r="Z59" s="226"/>
    </row>
    <row r="60" spans="1:26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6">
        <f>Data!D59</f>
        <v>17917492.307692308</v>
      </c>
      <c r="E60" s="186">
        <f>Data!E59</f>
        <v>5558407.3692600001</v>
      </c>
      <c r="F60" s="185">
        <f ca="1">Data!F59</f>
        <v>410432.98071920895</v>
      </c>
      <c r="G60" s="185">
        <f t="shared" ca="1" si="3"/>
        <v>18327925.288411517</v>
      </c>
      <c r="H60" s="196">
        <f>Data!U59</f>
        <v>194.50000000000003</v>
      </c>
      <c r="I60" s="187">
        <f>Data!X59</f>
        <v>7.0999999999999979</v>
      </c>
      <c r="J60" s="187">
        <f>Data!AG59</f>
        <v>31</v>
      </c>
      <c r="K60" s="187">
        <f>Data!AU59</f>
        <v>0</v>
      </c>
      <c r="L60" s="188">
        <f>Data!M59</f>
        <v>152.00414801820096</v>
      </c>
      <c r="M60" s="187">
        <f>Data!AX59</f>
        <v>58</v>
      </c>
      <c r="N60" s="189">
        <f>Data!K59</f>
        <v>11727.666666666661</v>
      </c>
      <c r="O60" s="191"/>
      <c r="P60" s="190">
        <f t="shared" si="4"/>
        <v>18101646.57720352</v>
      </c>
      <c r="Q60" s="92">
        <f t="shared" ca="1" si="5"/>
        <v>-226278.71120799705</v>
      </c>
      <c r="R60" s="93">
        <f t="shared" ca="1" si="1"/>
        <v>1.2628927492875298E-2</v>
      </c>
      <c r="S60"/>
      <c r="U60" s="109"/>
      <c r="V60" s="109"/>
      <c r="W60" s="123"/>
      <c r="X60" s="100"/>
      <c r="Y60" s="112"/>
      <c r="Z60" s="226"/>
    </row>
    <row r="61" spans="1:26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6">
        <f>Data!D60</f>
        <v>18378200</v>
      </c>
      <c r="E61" s="186">
        <f>Data!E60</f>
        <v>4750486.3030199995</v>
      </c>
      <c r="F61" s="185">
        <f ca="1">Data!F60</f>
        <v>423556.93897835223</v>
      </c>
      <c r="G61" s="185">
        <f t="shared" ca="1" si="3"/>
        <v>18801756.938978352</v>
      </c>
      <c r="H61" s="196">
        <f>Data!U60</f>
        <v>325.2</v>
      </c>
      <c r="I61" s="187">
        <f>Data!X60</f>
        <v>0.89999999999999858</v>
      </c>
      <c r="J61" s="187">
        <f>Data!AG60</f>
        <v>30</v>
      </c>
      <c r="K61" s="187">
        <f>Data!AU60</f>
        <v>0</v>
      </c>
      <c r="L61" s="188">
        <f>Data!M60</f>
        <v>152.33324145731416</v>
      </c>
      <c r="M61" s="187">
        <f>Data!AX60</f>
        <v>59</v>
      </c>
      <c r="N61" s="189">
        <f>Data!K60</f>
        <v>11734.833333333327</v>
      </c>
      <c r="O61" s="191"/>
      <c r="P61" s="190">
        <f t="shared" si="4"/>
        <v>18785029.348878626</v>
      </c>
      <c r="Q61" s="92">
        <f t="shared" ca="1" si="5"/>
        <v>-16727.590099725872</v>
      </c>
      <c r="R61" s="93">
        <f t="shared" ca="1" si="1"/>
        <v>9.1018653076611813E-4</v>
      </c>
      <c r="S61"/>
      <c r="U61" s="109"/>
      <c r="V61" s="109"/>
      <c r="W61" s="123"/>
      <c r="Y61" s="112"/>
    </row>
    <row r="62" spans="1:26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6">
        <f>Data!D61</f>
        <v>20053746.153846152</v>
      </c>
      <c r="E62" s="186">
        <f>Data!E61</f>
        <v>4791973.1588400006</v>
      </c>
      <c r="F62" s="185">
        <f ca="1">Data!F61</f>
        <v>436680.89723749558</v>
      </c>
      <c r="G62" s="185">
        <f t="shared" ca="1" si="3"/>
        <v>20490427.051083647</v>
      </c>
      <c r="H62" s="196">
        <f>Data!U61</f>
        <v>417.30000000000007</v>
      </c>
      <c r="I62" s="187">
        <f>Data!X61</f>
        <v>0</v>
      </c>
      <c r="J62" s="187">
        <f>Data!AG61</f>
        <v>31</v>
      </c>
      <c r="K62" s="187">
        <f>Data!AU61</f>
        <v>0</v>
      </c>
      <c r="L62" s="188">
        <f>Data!M61</f>
        <v>152.66233489642735</v>
      </c>
      <c r="M62" s="187">
        <f>Data!AX61</f>
        <v>60</v>
      </c>
      <c r="N62" s="189">
        <f>Data!K61</f>
        <v>11706</v>
      </c>
      <c r="O62" s="191"/>
      <c r="P62" s="190">
        <f t="shared" si="4"/>
        <v>20248045.623287342</v>
      </c>
      <c r="Q62" s="92">
        <f t="shared" ca="1" si="5"/>
        <v>-242381.42779630423</v>
      </c>
      <c r="R62" s="93">
        <f t="shared" ca="1" si="1"/>
        <v>1.2086591000844865E-2</v>
      </c>
      <c r="S62"/>
      <c r="U62" s="109"/>
      <c r="V62" s="109"/>
      <c r="W62" s="123"/>
      <c r="X62" s="100"/>
      <c r="Y62" s="112"/>
    </row>
    <row r="63" spans="1:26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6">
        <f>Data!D62</f>
        <v>22182546.149999999</v>
      </c>
      <c r="E63" s="186">
        <f>Data!E62</f>
        <v>5334292.6764200004</v>
      </c>
      <c r="F63" s="185">
        <f ca="1">Data!F62</f>
        <v>471046.14177012874</v>
      </c>
      <c r="G63" s="185">
        <f t="shared" ca="1" si="3"/>
        <v>22653592.291770127</v>
      </c>
      <c r="H63" s="196">
        <f>Data!U62</f>
        <v>644.9</v>
      </c>
      <c r="I63" s="187">
        <f>Data!X62</f>
        <v>0</v>
      </c>
      <c r="J63" s="187">
        <f>Data!AG62</f>
        <v>31</v>
      </c>
      <c r="K63" s="187">
        <f>Data!AU62</f>
        <v>0</v>
      </c>
      <c r="L63" s="188">
        <f>Data!M62</f>
        <v>152.94849526537982</v>
      </c>
      <c r="M63" s="187">
        <f>Data!AX62</f>
        <v>61</v>
      </c>
      <c r="N63" s="189">
        <f>Data!K62</f>
        <v>11716.916666666666</v>
      </c>
      <c r="O63" s="191"/>
      <c r="P63" s="190">
        <f t="shared" si="4"/>
        <v>22760861.222419862</v>
      </c>
      <c r="Q63" s="92">
        <f t="shared" ca="1" si="5"/>
        <v>107268.93064973503</v>
      </c>
      <c r="R63" s="93">
        <f t="shared" ca="1" si="1"/>
        <v>4.8357357142130878E-3</v>
      </c>
      <c r="S63"/>
      <c r="U63" s="109"/>
      <c r="V63" s="109"/>
      <c r="W63" s="123"/>
      <c r="X63" s="100"/>
      <c r="Y63" s="112"/>
    </row>
    <row r="64" spans="1:26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6">
        <f>Data!D63</f>
        <v>19893038.460000001</v>
      </c>
      <c r="E64" s="186">
        <f>Data!E63</f>
        <v>5987933.8334400002</v>
      </c>
      <c r="F64" s="185">
        <f ca="1">Data!F63</f>
        <v>483582.94839471672</v>
      </c>
      <c r="G64" s="185">
        <f t="shared" ca="1" si="3"/>
        <v>20376621.408394717</v>
      </c>
      <c r="H64" s="196">
        <f>Data!U63</f>
        <v>550.19999999999993</v>
      </c>
      <c r="I64" s="187">
        <f>Data!X63</f>
        <v>0</v>
      </c>
      <c r="J64" s="187">
        <f>Data!AG63</f>
        <v>29</v>
      </c>
      <c r="K64" s="187">
        <f>Data!AU63</f>
        <v>0</v>
      </c>
      <c r="L64" s="188">
        <f>Data!M63</f>
        <v>153.23465563433228</v>
      </c>
      <c r="M64" s="187">
        <f>Data!AX63</f>
        <v>62</v>
      </c>
      <c r="N64" s="189">
        <f>Data!K63</f>
        <v>11727.833333333332</v>
      </c>
      <c r="O64" s="191"/>
      <c r="P64" s="190">
        <f t="shared" si="4"/>
        <v>20762247.892843161</v>
      </c>
      <c r="Q64" s="92">
        <f t="shared" ca="1" si="5"/>
        <v>385626.4844484441</v>
      </c>
      <c r="R64" s="93">
        <f t="shared" ca="1" si="1"/>
        <v>1.9384996677297133E-2</v>
      </c>
      <c r="S64"/>
      <c r="U64" s="109"/>
      <c r="V64" s="109"/>
      <c r="W64" s="123"/>
      <c r="X64" s="100"/>
      <c r="Y64" s="112"/>
    </row>
    <row r="65" spans="1:31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6">
        <f>Data!D64</f>
        <v>19158792.309999999</v>
      </c>
      <c r="E65" s="186">
        <f>Data!E64</f>
        <v>5265686.2439099997</v>
      </c>
      <c r="F65" s="185">
        <f ca="1">Data!F64</f>
        <v>496119.75501930469</v>
      </c>
      <c r="G65" s="185">
        <f t="shared" ca="1" si="3"/>
        <v>19654912.065019302</v>
      </c>
      <c r="H65" s="196">
        <f>Data!U64</f>
        <v>404.4</v>
      </c>
      <c r="I65" s="187">
        <f>Data!X64</f>
        <v>0</v>
      </c>
      <c r="J65" s="187">
        <f>Data!AG64</f>
        <v>31</v>
      </c>
      <c r="K65" s="187">
        <f>Data!AU64</f>
        <v>1</v>
      </c>
      <c r="L65" s="188">
        <f>Data!M64</f>
        <v>153.52081600328475</v>
      </c>
      <c r="M65" s="187">
        <f>Data!AX64</f>
        <v>63</v>
      </c>
      <c r="N65" s="189">
        <f>Data!K64</f>
        <v>11738.749999999998</v>
      </c>
      <c r="O65" s="191"/>
      <c r="P65" s="190">
        <f t="shared" si="4"/>
        <v>19513363.46083118</v>
      </c>
      <c r="Q65" s="92">
        <f t="shared" ca="1" si="5"/>
        <v>-141548.60418812186</v>
      </c>
      <c r="R65" s="93">
        <f t="shared" ca="1" si="1"/>
        <v>7.3881798966127978E-3</v>
      </c>
      <c r="S65"/>
      <c r="U65" s="109"/>
      <c r="V65" s="109"/>
      <c r="W65" s="123"/>
      <c r="X65" s="100"/>
      <c r="Y65" s="112"/>
    </row>
    <row r="66" spans="1:31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6">
        <f>Data!D65</f>
        <v>17454523.079999998</v>
      </c>
      <c r="E66" s="186">
        <f>Data!E65</f>
        <v>5097503.1288600005</v>
      </c>
      <c r="F66" s="185">
        <f ca="1">Data!F65</f>
        <v>508656.56164389261</v>
      </c>
      <c r="G66" s="185">
        <f t="shared" ca="1" si="3"/>
        <v>17963179.641643889</v>
      </c>
      <c r="H66" s="196">
        <f>Data!U65</f>
        <v>332.09999999999997</v>
      </c>
      <c r="I66" s="187">
        <f>Data!X65</f>
        <v>0</v>
      </c>
      <c r="J66" s="187">
        <f>Data!AG65</f>
        <v>30</v>
      </c>
      <c r="K66" s="187">
        <f>Data!AU65</f>
        <v>1</v>
      </c>
      <c r="L66" s="188">
        <f>Data!M65</f>
        <v>153.80697637223722</v>
      </c>
      <c r="M66" s="187">
        <f>Data!AX65</f>
        <v>64</v>
      </c>
      <c r="N66" s="189">
        <f>Data!K65</f>
        <v>11749.666666666664</v>
      </c>
      <c r="O66" s="191"/>
      <c r="P66" s="190">
        <f t="shared" si="4"/>
        <v>18243041.99053555</v>
      </c>
      <c r="Q66" s="92">
        <f t="shared" ca="1" si="5"/>
        <v>279862.34889166057</v>
      </c>
      <c r="R66" s="93">
        <f t="shared" ca="1" si="1"/>
        <v>1.6033800958579994E-2</v>
      </c>
      <c r="S66"/>
      <c r="U66" s="109"/>
      <c r="V66" s="109"/>
      <c r="W66" s="123"/>
      <c r="X66" s="100"/>
      <c r="Y66" s="112"/>
    </row>
    <row r="67" spans="1:31" x14ac:dyDescent="0.2">
      <c r="A67" s="97">
        <f>Purchases!A126</f>
        <v>42491</v>
      </c>
      <c r="B67" s="118">
        <f t="shared" ref="B67:B130" si="6">YEAR(A67)</f>
        <v>2016</v>
      </c>
      <c r="C67" s="118">
        <f t="shared" si="2"/>
        <v>5</v>
      </c>
      <c r="D67" s="186">
        <f>Data!D66</f>
        <v>17779684.620000001</v>
      </c>
      <c r="E67" s="186">
        <f>Data!E66</f>
        <v>4682979.8852999993</v>
      </c>
      <c r="F67" s="185">
        <f ca="1">Data!F66</f>
        <v>521193.36826848052</v>
      </c>
      <c r="G67" s="185">
        <f t="shared" ca="1" si="3"/>
        <v>18300877.98826848</v>
      </c>
      <c r="H67" s="196">
        <f>Data!U66</f>
        <v>126.6</v>
      </c>
      <c r="I67" s="196">
        <f>Data!X66</f>
        <v>55.2</v>
      </c>
      <c r="J67" s="187">
        <f>Data!AG66</f>
        <v>31</v>
      </c>
      <c r="K67" s="187">
        <f>Data!AU66</f>
        <v>1</v>
      </c>
      <c r="L67" s="188">
        <f>Data!M66</f>
        <v>154.09313674118968</v>
      </c>
      <c r="M67" s="187">
        <f>Data!AX66</f>
        <v>65</v>
      </c>
      <c r="N67" s="189">
        <f>Data!K66</f>
        <v>11760.58333333333</v>
      </c>
      <c r="O67" s="191"/>
      <c r="P67" s="190">
        <f t="shared" si="4"/>
        <v>18981447.98840981</v>
      </c>
      <c r="Q67" s="92">
        <f t="shared" ca="1" si="5"/>
        <v>680570.00014133006</v>
      </c>
      <c r="R67" s="93">
        <f t="shared" ref="R67:R122" ca="1" si="7">ABS(Q67/D67)</f>
        <v>3.8277956819086141E-2</v>
      </c>
      <c r="S67"/>
      <c r="U67" s="109"/>
      <c r="V67" s="109"/>
      <c r="W67" s="123"/>
      <c r="X67" s="100"/>
      <c r="Y67" s="112"/>
    </row>
    <row r="68" spans="1:31" x14ac:dyDescent="0.2">
      <c r="A68" s="97">
        <f>Purchases!A127</f>
        <v>42522</v>
      </c>
      <c r="B68" s="118">
        <f t="shared" si="6"/>
        <v>2016</v>
      </c>
      <c r="C68" s="118">
        <f t="shared" ref="C68:C131" si="8">MONTH(A68)</f>
        <v>6</v>
      </c>
      <c r="D68" s="186">
        <f>Data!D67</f>
        <v>21050084.620000001</v>
      </c>
      <c r="E68" s="186">
        <f>Data!E67</f>
        <v>4512661.5249999994</v>
      </c>
      <c r="F68" s="185">
        <f ca="1">Data!F67</f>
        <v>533730.1748930685</v>
      </c>
      <c r="G68" s="185">
        <f t="shared" ref="G68:G122" ca="1" si="9">D68+F68</f>
        <v>21583814.794893071</v>
      </c>
      <c r="H68" s="196">
        <f>Data!U67</f>
        <v>6.7999999999999989</v>
      </c>
      <c r="I68" s="187">
        <f>Data!X67</f>
        <v>155.4</v>
      </c>
      <c r="J68" s="187">
        <f>Data!AG67</f>
        <v>30</v>
      </c>
      <c r="K68" s="187">
        <f>Data!AU67</f>
        <v>0</v>
      </c>
      <c r="L68" s="188">
        <f>Data!M67</f>
        <v>154.37929711014215</v>
      </c>
      <c r="M68" s="187">
        <f>Data!AX67</f>
        <v>66</v>
      </c>
      <c r="N68" s="189">
        <f>Data!K67</f>
        <v>11771.499999999996</v>
      </c>
      <c r="O68" s="191"/>
      <c r="P68" s="190">
        <f t="shared" ref="P68:P131" si="10">$T$17+H68*$T$18+I68*$T$19+J68*$T$20+K68*$T$21+$T$22*L68</f>
        <v>22361961.788048137</v>
      </c>
      <c r="Q68" s="92">
        <f t="shared" ref="Q68:Q122" ca="1" si="11">P68-G68</f>
        <v>778146.99315506592</v>
      </c>
      <c r="R68" s="93">
        <f t="shared" ca="1" si="7"/>
        <v>3.6966454396850111E-2</v>
      </c>
      <c r="S68"/>
      <c r="U68" s="109"/>
      <c r="V68" s="109"/>
      <c r="W68" s="123"/>
      <c r="X68" s="100"/>
      <c r="Y68" s="112"/>
    </row>
    <row r="69" spans="1:31" x14ac:dyDescent="0.2">
      <c r="A69" s="97">
        <f>Purchases!A128</f>
        <v>42552</v>
      </c>
      <c r="B69" s="118">
        <f t="shared" si="6"/>
        <v>2016</v>
      </c>
      <c r="C69" s="118">
        <f t="shared" si="8"/>
        <v>7</v>
      </c>
      <c r="D69" s="186">
        <f>Data!D68</f>
        <v>25290492.309999999</v>
      </c>
      <c r="E69" s="186">
        <f>Data!E68</f>
        <v>5292771.1205000002</v>
      </c>
      <c r="F69" s="185">
        <f ca="1">Data!F68</f>
        <v>546266.98151765647</v>
      </c>
      <c r="G69" s="185">
        <f t="shared" ca="1" si="9"/>
        <v>25836759.291517656</v>
      </c>
      <c r="H69" s="196">
        <f>Data!U68</f>
        <v>0</v>
      </c>
      <c r="I69" s="187">
        <f>Data!X68</f>
        <v>240.29999999999998</v>
      </c>
      <c r="J69" s="187">
        <f>Data!AG68</f>
        <v>31</v>
      </c>
      <c r="K69" s="187">
        <f>Data!AU68</f>
        <v>0</v>
      </c>
      <c r="L69" s="188">
        <f>Data!M68</f>
        <v>154.66545747909461</v>
      </c>
      <c r="M69" s="187">
        <f>Data!AX68</f>
        <v>67</v>
      </c>
      <c r="N69" s="189">
        <f>Data!K68</f>
        <v>11782.416666666662</v>
      </c>
      <c r="O69" s="191"/>
      <c r="P69" s="190">
        <f t="shared" si="10"/>
        <v>26639122.901736252</v>
      </c>
      <c r="Q69" s="92">
        <f t="shared" ca="1" si="11"/>
        <v>802363.61021859571</v>
      </c>
      <c r="R69" s="93">
        <f t="shared" ca="1" si="7"/>
        <v>3.1725899218709032E-2</v>
      </c>
      <c r="S69"/>
      <c r="U69" s="109"/>
      <c r="V69" s="109"/>
      <c r="W69" s="123"/>
      <c r="X69" s="100"/>
      <c r="Y69" s="112"/>
    </row>
    <row r="70" spans="1:31" x14ac:dyDescent="0.2">
      <c r="A70" s="97">
        <f>Purchases!A129</f>
        <v>42583</v>
      </c>
      <c r="B70" s="118">
        <f t="shared" si="6"/>
        <v>2016</v>
      </c>
      <c r="C70" s="118">
        <f t="shared" si="8"/>
        <v>8</v>
      </c>
      <c r="D70" s="186">
        <f>Data!D69</f>
        <v>26373046.149999999</v>
      </c>
      <c r="E70" s="186">
        <f>Data!E69</f>
        <v>6479248.5064000003</v>
      </c>
      <c r="F70" s="185">
        <f ca="1">Data!F69</f>
        <v>558803.78814224433</v>
      </c>
      <c r="G70" s="185">
        <f t="shared" ca="1" si="9"/>
        <v>26931849.938142244</v>
      </c>
      <c r="H70" s="196">
        <f>Data!U69</f>
        <v>0</v>
      </c>
      <c r="I70" s="187">
        <f>Data!X69</f>
        <v>236.90000000000003</v>
      </c>
      <c r="J70" s="187">
        <f>Data!AG69</f>
        <v>31</v>
      </c>
      <c r="K70" s="187">
        <f>Data!AU69</f>
        <v>0</v>
      </c>
      <c r="L70" s="188">
        <f>Data!M69</f>
        <v>154.95161784804708</v>
      </c>
      <c r="M70" s="187">
        <f>Data!AX69</f>
        <v>68</v>
      </c>
      <c r="N70" s="189">
        <f>Data!K69</f>
        <v>11793.333333333328</v>
      </c>
      <c r="O70" s="191"/>
      <c r="P70" s="190">
        <f t="shared" si="10"/>
        <v>26491712.045487985</v>
      </c>
      <c r="Q70" s="92">
        <f t="shared" ca="1" si="11"/>
        <v>-440137.89265425876</v>
      </c>
      <c r="R70" s="93">
        <f t="shared" ca="1" si="7"/>
        <v>1.668892892201073E-2</v>
      </c>
      <c r="S70"/>
      <c r="U70" s="109"/>
      <c r="V70" s="109"/>
      <c r="W70" s="123"/>
      <c r="X70" s="100"/>
      <c r="Y70" s="112"/>
    </row>
    <row r="71" spans="1:31" x14ac:dyDescent="0.2">
      <c r="A71" s="97">
        <f>Purchases!A130</f>
        <v>42614</v>
      </c>
      <c r="B71" s="118">
        <f t="shared" si="6"/>
        <v>2016</v>
      </c>
      <c r="C71" s="118">
        <f t="shared" si="8"/>
        <v>9</v>
      </c>
      <c r="D71" s="186">
        <f>Data!D70</f>
        <v>19870438.460000001</v>
      </c>
      <c r="E71" s="186">
        <f>Data!E70</f>
        <v>6282145.3443000009</v>
      </c>
      <c r="F71" s="185">
        <f ca="1">Data!F70</f>
        <v>571340.59476683231</v>
      </c>
      <c r="G71" s="185">
        <f t="shared" ca="1" si="9"/>
        <v>20441779.054766834</v>
      </c>
      <c r="H71" s="196">
        <f>Data!U70</f>
        <v>19.399999999999995</v>
      </c>
      <c r="I71" s="187">
        <f>Data!X70</f>
        <v>104.9</v>
      </c>
      <c r="J71" s="187">
        <f>Data!AG70</f>
        <v>30</v>
      </c>
      <c r="K71" s="187">
        <f>Data!AU70</f>
        <v>0</v>
      </c>
      <c r="L71" s="188">
        <f>Data!M70</f>
        <v>155.23777821699954</v>
      </c>
      <c r="M71" s="187">
        <f>Data!AX70</f>
        <v>69</v>
      </c>
      <c r="N71" s="189">
        <f>Data!K70</f>
        <v>11804.249999999995</v>
      </c>
      <c r="O71" s="191"/>
      <c r="P71" s="190">
        <f t="shared" si="10"/>
        <v>20224750.613890864</v>
      </c>
      <c r="Q71" s="92">
        <f t="shared" ca="1" si="11"/>
        <v>-217028.44087596983</v>
      </c>
      <c r="R71" s="93">
        <f t="shared" ca="1" si="7"/>
        <v>1.0922176745765167E-2</v>
      </c>
      <c r="S71"/>
      <c r="U71" s="109"/>
      <c r="V71" s="109"/>
      <c r="W71" s="123"/>
      <c r="X71" s="100"/>
      <c r="Y71" s="112"/>
      <c r="Z71" s="112"/>
    </row>
    <row r="72" spans="1:31" x14ac:dyDescent="0.2">
      <c r="A72" s="97">
        <f>Purchases!A131</f>
        <v>42644</v>
      </c>
      <c r="B72" s="118">
        <f t="shared" si="6"/>
        <v>2016</v>
      </c>
      <c r="C72" s="118">
        <f t="shared" si="8"/>
        <v>10</v>
      </c>
      <c r="D72" s="186">
        <f>Data!D71</f>
        <v>16662107.689999999</v>
      </c>
      <c r="E72" s="186">
        <f>Data!E71</f>
        <v>4626531.6867999993</v>
      </c>
      <c r="F72" s="185">
        <f ca="1">Data!F71</f>
        <v>583877.40139142028</v>
      </c>
      <c r="G72" s="185">
        <f t="shared" ca="1" si="9"/>
        <v>17245985.091391418</v>
      </c>
      <c r="H72" s="196">
        <f>Data!U71</f>
        <v>173.20000000000002</v>
      </c>
      <c r="I72" s="187">
        <f>Data!X71</f>
        <v>29.9</v>
      </c>
      <c r="J72" s="187">
        <f>Data!AG71</f>
        <v>31</v>
      </c>
      <c r="K72" s="187">
        <f>Data!AU71</f>
        <v>0</v>
      </c>
      <c r="L72" s="188">
        <f>Data!M71</f>
        <v>155.52393858595201</v>
      </c>
      <c r="M72" s="187">
        <f>Data!AX71</f>
        <v>70</v>
      </c>
      <c r="N72" s="189">
        <f>Data!K71</f>
        <v>11815.166666666661</v>
      </c>
      <c r="O72" s="191"/>
      <c r="P72" s="190">
        <f t="shared" si="10"/>
        <v>18994279.760977525</v>
      </c>
      <c r="Q72" s="92">
        <f t="shared" ca="1" si="11"/>
        <v>1748294.6695861071</v>
      </c>
      <c r="R72" s="93">
        <f t="shared" ca="1" si="7"/>
        <v>0.10492638159068982</v>
      </c>
      <c r="S72"/>
      <c r="X72" s="100"/>
    </row>
    <row r="73" spans="1:31" x14ac:dyDescent="0.2">
      <c r="A73" s="97">
        <f>Purchases!A132</f>
        <v>42675</v>
      </c>
      <c r="B73" s="118">
        <f t="shared" si="6"/>
        <v>2016</v>
      </c>
      <c r="C73" s="118">
        <f t="shared" si="8"/>
        <v>11</v>
      </c>
      <c r="D73" s="186">
        <f>Data!D72</f>
        <v>17715484.620000001</v>
      </c>
      <c r="E73" s="186">
        <f>Data!E72</f>
        <v>4446124.8939999994</v>
      </c>
      <c r="F73" s="185">
        <f ca="1">Data!F72</f>
        <v>596414.20801600826</v>
      </c>
      <c r="G73" s="185">
        <f t="shared" ca="1" si="9"/>
        <v>18311898.828016009</v>
      </c>
      <c r="H73" s="196">
        <f>Data!U72</f>
        <v>315.30000000000007</v>
      </c>
      <c r="I73" s="187">
        <f>Data!X72</f>
        <v>0.10000000000000142</v>
      </c>
      <c r="J73" s="187">
        <f>Data!AG72</f>
        <v>30</v>
      </c>
      <c r="K73" s="187">
        <f>Data!AU72</f>
        <v>0</v>
      </c>
      <c r="L73" s="188">
        <f>Data!M72</f>
        <v>155.81009895490448</v>
      </c>
      <c r="M73" s="187">
        <f>Data!AX72</f>
        <v>71</v>
      </c>
      <c r="N73" s="189">
        <f>Data!K72</f>
        <v>11826.083333333327</v>
      </c>
      <c r="O73" s="191"/>
      <c r="P73" s="190">
        <f t="shared" si="10"/>
        <v>18728244.281710759</v>
      </c>
      <c r="Q73" s="92">
        <f t="shared" ca="1" si="11"/>
        <v>416345.45369474962</v>
      </c>
      <c r="R73" s="93">
        <f t="shared" ca="1" si="7"/>
        <v>2.350178178161234E-2</v>
      </c>
      <c r="S73"/>
    </row>
    <row r="74" spans="1:31" x14ac:dyDescent="0.2">
      <c r="A74" s="97">
        <f>Purchases!A133</f>
        <v>42705</v>
      </c>
      <c r="B74" s="118">
        <f t="shared" si="6"/>
        <v>2016</v>
      </c>
      <c r="C74" s="118">
        <f t="shared" si="8"/>
        <v>12</v>
      </c>
      <c r="D74" s="186">
        <f>Data!D73</f>
        <v>21539892.309999999</v>
      </c>
      <c r="E74" s="186">
        <f>Data!E73</f>
        <v>4857424.7469000006</v>
      </c>
      <c r="F74" s="185">
        <f ca="1">Data!F73</f>
        <v>608951.01464059623</v>
      </c>
      <c r="G74" s="185">
        <f t="shared" ca="1" si="9"/>
        <v>22148843.324640594</v>
      </c>
      <c r="H74" s="196">
        <f>Data!U73</f>
        <v>623.19999999999993</v>
      </c>
      <c r="I74" s="187">
        <f>Data!X73</f>
        <v>0</v>
      </c>
      <c r="J74" s="187">
        <f>Data!AG73</f>
        <v>31</v>
      </c>
      <c r="K74" s="187">
        <f>Data!AU73</f>
        <v>0</v>
      </c>
      <c r="L74" s="188">
        <f>Data!M73</f>
        <v>156.09625932385694</v>
      </c>
      <c r="M74" s="187">
        <f>Data!AX73</f>
        <v>72</v>
      </c>
      <c r="N74" s="189">
        <f>Data!K73</f>
        <v>11792</v>
      </c>
      <c r="O74" s="191"/>
      <c r="P74" s="190">
        <f t="shared" si="10"/>
        <v>22602190.977978807</v>
      </c>
      <c r="Q74" s="92">
        <f t="shared" ca="1" si="11"/>
        <v>453347.65333821252</v>
      </c>
      <c r="R74" s="93">
        <f t="shared" ca="1" si="7"/>
        <v>2.1046885788177486E-2</v>
      </c>
      <c r="S74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210"/>
    </row>
    <row r="75" spans="1:31" x14ac:dyDescent="0.2">
      <c r="A75" s="97">
        <f>Purchases!A134</f>
        <v>42736</v>
      </c>
      <c r="B75" s="118">
        <f t="shared" si="6"/>
        <v>2017</v>
      </c>
      <c r="C75" s="118">
        <f t="shared" si="8"/>
        <v>1</v>
      </c>
      <c r="D75" s="186">
        <f>Data!D74</f>
        <v>21332376.190000001</v>
      </c>
      <c r="E75" s="186">
        <f>Data!E74</f>
        <v>6043116.9052099995</v>
      </c>
      <c r="F75" s="185">
        <f ca="1">Data!F74</f>
        <v>644967.00759663025</v>
      </c>
      <c r="G75" s="185">
        <f t="shared" ca="1" si="9"/>
        <v>21977343.197596632</v>
      </c>
      <c r="H75" s="196">
        <f>Data!U74</f>
        <v>584.19999999999993</v>
      </c>
      <c r="I75" s="187">
        <f>Data!X74</f>
        <v>0</v>
      </c>
      <c r="J75" s="187">
        <f>Data!AG74</f>
        <v>31</v>
      </c>
      <c r="K75" s="187">
        <f>Data!AU74</f>
        <v>0</v>
      </c>
      <c r="L75" s="188">
        <f>Data!M74</f>
        <v>156.45449128368512</v>
      </c>
      <c r="M75" s="187">
        <f>Data!AX74</f>
        <v>73</v>
      </c>
      <c r="N75" s="189">
        <f>Data!K74</f>
        <v>11803</v>
      </c>
      <c r="O75" s="191"/>
      <c r="P75" s="190">
        <f t="shared" si="10"/>
        <v>22181990.055147573</v>
      </c>
      <c r="Q75" s="92">
        <f t="shared" ca="1" si="11"/>
        <v>204646.85755094141</v>
      </c>
      <c r="R75" s="93">
        <f t="shared" ca="1" si="7"/>
        <v>9.5932518594376709E-3</v>
      </c>
      <c r="S75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210"/>
    </row>
    <row r="76" spans="1:31" x14ac:dyDescent="0.2">
      <c r="A76" s="97">
        <f>Purchases!A135</f>
        <v>42767</v>
      </c>
      <c r="B76" s="118">
        <f t="shared" si="6"/>
        <v>2017</v>
      </c>
      <c r="C76" s="118">
        <f t="shared" si="8"/>
        <v>2</v>
      </c>
      <c r="D76" s="186">
        <f>Data!D75</f>
        <v>17869619.050000001</v>
      </c>
      <c r="E76" s="186">
        <f>Data!E75</f>
        <v>5773386.9743099995</v>
      </c>
      <c r="F76" s="185">
        <f ca="1">Data!F75</f>
        <v>658375.01058807177</v>
      </c>
      <c r="G76" s="185">
        <f t="shared" ca="1" si="9"/>
        <v>18527994.060588073</v>
      </c>
      <c r="H76" s="196">
        <f>Data!U75</f>
        <v>440.69999999999987</v>
      </c>
      <c r="I76" s="187">
        <f>Data!X75</f>
        <v>0</v>
      </c>
      <c r="J76" s="187">
        <f>Data!AG75</f>
        <v>28</v>
      </c>
      <c r="K76" s="187">
        <f>Data!AU75</f>
        <v>0</v>
      </c>
      <c r="L76" s="188">
        <f>Data!M75</f>
        <v>156.81272324351329</v>
      </c>
      <c r="M76" s="187">
        <f>Data!AX75</f>
        <v>74</v>
      </c>
      <c r="N76" s="189">
        <f>Data!K75</f>
        <v>11814</v>
      </c>
      <c r="O76" s="191"/>
      <c r="P76" s="190">
        <f t="shared" si="10"/>
        <v>19166298.324424516</v>
      </c>
      <c r="Q76" s="92">
        <f t="shared" ca="1" si="11"/>
        <v>638304.26383644342</v>
      </c>
      <c r="R76" s="93">
        <f t="shared" ca="1" si="7"/>
        <v>3.5720082339217155E-2</v>
      </c>
      <c r="S76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210"/>
    </row>
    <row r="77" spans="1:31" x14ac:dyDescent="0.2">
      <c r="A77" s="97">
        <f>Purchases!A136</f>
        <v>42795</v>
      </c>
      <c r="B77" s="118">
        <f t="shared" si="6"/>
        <v>2017</v>
      </c>
      <c r="C77" s="118">
        <f t="shared" si="8"/>
        <v>3</v>
      </c>
      <c r="D77" s="186">
        <f>Data!D76</f>
        <v>19357285.710000001</v>
      </c>
      <c r="E77" s="186">
        <f>Data!E76</f>
        <v>4532106.3259899998</v>
      </c>
      <c r="F77" s="185">
        <f ca="1">Data!F76</f>
        <v>671783.01357951318</v>
      </c>
      <c r="G77" s="185">
        <f t="shared" ca="1" si="9"/>
        <v>20029068.723579515</v>
      </c>
      <c r="H77" s="196">
        <f>Data!U76</f>
        <v>507.30000000000007</v>
      </c>
      <c r="I77" s="187">
        <f>Data!X76</f>
        <v>0</v>
      </c>
      <c r="J77" s="187">
        <f>Data!AG76</f>
        <v>31</v>
      </c>
      <c r="K77" s="187">
        <f>Data!AU76</f>
        <v>1</v>
      </c>
      <c r="L77" s="188">
        <f>Data!M76</f>
        <v>157.17095520334146</v>
      </c>
      <c r="M77" s="187">
        <f>Data!AX76</f>
        <v>75</v>
      </c>
      <c r="N77" s="189">
        <f>Data!K76</f>
        <v>11825</v>
      </c>
      <c r="O77" s="191"/>
      <c r="P77" s="190">
        <f t="shared" si="10"/>
        <v>20739148.051182669</v>
      </c>
      <c r="Q77" s="92">
        <f t="shared" ca="1" si="11"/>
        <v>710079.32760315388</v>
      </c>
      <c r="R77" s="93">
        <f t="shared" ca="1" si="7"/>
        <v>3.6682794181021251E-2</v>
      </c>
      <c r="S77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210"/>
    </row>
    <row r="78" spans="1:31" x14ac:dyDescent="0.2">
      <c r="A78" s="97">
        <f>Purchases!A137</f>
        <v>42826</v>
      </c>
      <c r="B78" s="118">
        <f t="shared" si="6"/>
        <v>2017</v>
      </c>
      <c r="C78" s="118">
        <f t="shared" si="8"/>
        <v>4</v>
      </c>
      <c r="D78" s="186">
        <f>Data!D77</f>
        <v>15858266.67</v>
      </c>
      <c r="E78" s="186">
        <f>Data!E77</f>
        <v>4999470.1251299996</v>
      </c>
      <c r="F78" s="185">
        <f ca="1">Data!F77</f>
        <v>685191.0165709547</v>
      </c>
      <c r="G78" s="185">
        <f t="shared" ca="1" si="9"/>
        <v>16543457.686570955</v>
      </c>
      <c r="H78" s="196">
        <f>Data!U77</f>
        <v>200.50000000000003</v>
      </c>
      <c r="I78" s="187">
        <f>Data!X77</f>
        <v>7.9000000000000021</v>
      </c>
      <c r="J78" s="187">
        <f>Data!AG77</f>
        <v>30</v>
      </c>
      <c r="K78" s="187">
        <f>Data!AU77</f>
        <v>1</v>
      </c>
      <c r="L78" s="188">
        <f>Data!M77</f>
        <v>157.52918716316964</v>
      </c>
      <c r="M78" s="187">
        <f>Data!AX77</f>
        <v>76</v>
      </c>
      <c r="N78" s="189">
        <f>Data!K77</f>
        <v>11836</v>
      </c>
      <c r="O78" s="191"/>
      <c r="P78" s="190">
        <f t="shared" si="10"/>
        <v>17248638.221500002</v>
      </c>
      <c r="Q78" s="92">
        <f t="shared" ca="1" si="11"/>
        <v>705180.53492904641</v>
      </c>
      <c r="R78" s="93">
        <f t="shared" ca="1" si="7"/>
        <v>4.4467693071593831E-2</v>
      </c>
      <c r="S78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210"/>
    </row>
    <row r="79" spans="1:31" x14ac:dyDescent="0.2">
      <c r="A79" s="97">
        <f>Purchases!A138</f>
        <v>42856</v>
      </c>
      <c r="B79" s="118">
        <f t="shared" si="6"/>
        <v>2017</v>
      </c>
      <c r="C79" s="118">
        <f t="shared" si="8"/>
        <v>5</v>
      </c>
      <c r="D79" s="186">
        <f>Data!D78</f>
        <v>16800623.809999999</v>
      </c>
      <c r="E79" s="186">
        <f>Data!E78</f>
        <v>4088277.3129600002</v>
      </c>
      <c r="F79" s="185">
        <f ca="1">Data!F78</f>
        <v>698599.0195623961</v>
      </c>
      <c r="G79" s="185">
        <f t="shared" ca="1" si="9"/>
        <v>17499222.829562396</v>
      </c>
      <c r="H79" s="196">
        <f>Data!U78</f>
        <v>135.5</v>
      </c>
      <c r="I79" s="187">
        <f>Data!X78</f>
        <v>38.100000000000009</v>
      </c>
      <c r="J79" s="187">
        <f>Data!AG78</f>
        <v>31</v>
      </c>
      <c r="K79" s="187">
        <f>Data!AU78</f>
        <v>1</v>
      </c>
      <c r="L79" s="188">
        <f>Data!M78</f>
        <v>157.88741912299781</v>
      </c>
      <c r="M79" s="187">
        <f>Data!AX78</f>
        <v>77</v>
      </c>
      <c r="N79" s="189">
        <f>Data!K78</f>
        <v>11847</v>
      </c>
      <c r="O79" s="191"/>
      <c r="P79" s="190">
        <f t="shared" si="10"/>
        <v>18398046.415699452</v>
      </c>
      <c r="Q79" s="92">
        <f t="shared" ca="1" si="11"/>
        <v>898823.58613705635</v>
      </c>
      <c r="R79" s="93">
        <f t="shared" ca="1" si="7"/>
        <v>5.3499417420564008E-2</v>
      </c>
      <c r="S7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210"/>
    </row>
    <row r="80" spans="1:31" x14ac:dyDescent="0.2">
      <c r="A80" s="97">
        <f>Purchases!A139</f>
        <v>42887</v>
      </c>
      <c r="B80" s="118">
        <f t="shared" si="6"/>
        <v>2017</v>
      </c>
      <c r="C80" s="118">
        <f t="shared" si="8"/>
        <v>6</v>
      </c>
      <c r="D80" s="186">
        <f>Data!D79</f>
        <v>20337761.899999999</v>
      </c>
      <c r="E80" s="186">
        <f>Data!E79</f>
        <v>4284257.51064</v>
      </c>
      <c r="F80" s="185">
        <f ca="1">Data!F79</f>
        <v>712007.02255383763</v>
      </c>
      <c r="G80" s="185">
        <f t="shared" ca="1" si="9"/>
        <v>21049768.922553837</v>
      </c>
      <c r="H80" s="196">
        <f>Data!U79</f>
        <v>9.1999999999999957</v>
      </c>
      <c r="I80" s="187">
        <f>Data!X79</f>
        <v>153.29999999999998</v>
      </c>
      <c r="J80" s="187">
        <f>Data!AG79</f>
        <v>30</v>
      </c>
      <c r="K80" s="187">
        <f>Data!AU79</f>
        <v>0</v>
      </c>
      <c r="L80" s="188">
        <f>Data!M79</f>
        <v>158.24565108282599</v>
      </c>
      <c r="M80" s="187">
        <f>Data!AX79</f>
        <v>78</v>
      </c>
      <c r="N80" s="189">
        <f>Data!K79</f>
        <v>11858</v>
      </c>
      <c r="O80" s="191"/>
      <c r="P80" s="190">
        <f t="shared" si="10"/>
        <v>22391354.913534991</v>
      </c>
      <c r="Q80" s="92">
        <f t="shared" ca="1" si="11"/>
        <v>1341585.9909811541</v>
      </c>
      <c r="R80" s="93">
        <f t="shared" ca="1" si="7"/>
        <v>6.5965271772660206E-2</v>
      </c>
      <c r="S80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210"/>
    </row>
    <row r="81" spans="1:31" x14ac:dyDescent="0.2">
      <c r="A81" s="97">
        <f>Purchases!A140</f>
        <v>42917</v>
      </c>
      <c r="B81" s="118">
        <f t="shared" si="6"/>
        <v>2017</v>
      </c>
      <c r="C81" s="118">
        <f t="shared" si="8"/>
        <v>7</v>
      </c>
      <c r="D81" s="186">
        <f>Data!D80</f>
        <v>24007900</v>
      </c>
      <c r="E81" s="186">
        <f>Data!E80</f>
        <v>5215450.4659299999</v>
      </c>
      <c r="F81" s="185">
        <f ca="1">Data!F80</f>
        <v>725415.02554527903</v>
      </c>
      <c r="G81" s="185">
        <f t="shared" ca="1" si="9"/>
        <v>24733315.02554528</v>
      </c>
      <c r="H81" s="196">
        <f>Data!U80</f>
        <v>0</v>
      </c>
      <c r="I81" s="187">
        <f>Data!X80</f>
        <v>198.99999999999997</v>
      </c>
      <c r="J81" s="187">
        <f>Data!AG80</f>
        <v>31</v>
      </c>
      <c r="K81" s="187">
        <f>Data!AU80</f>
        <v>0</v>
      </c>
      <c r="L81" s="188">
        <f>Data!M80</f>
        <v>158.60388304265416</v>
      </c>
      <c r="M81" s="187">
        <f>Data!AX80</f>
        <v>79</v>
      </c>
      <c r="N81" s="189">
        <f>Data!K80</f>
        <v>11869</v>
      </c>
      <c r="O81" s="191"/>
      <c r="P81" s="190">
        <f t="shared" si="10"/>
        <v>24860298.181522314</v>
      </c>
      <c r="Q81" s="92">
        <f t="shared" ca="1" si="11"/>
        <v>126983.15597703308</v>
      </c>
      <c r="R81" s="93">
        <f t="shared" ca="1" si="7"/>
        <v>5.2892237962101256E-3</v>
      </c>
      <c r="S81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210"/>
    </row>
    <row r="82" spans="1:31" x14ac:dyDescent="0.2">
      <c r="A82" s="97">
        <f>Purchases!A141</f>
        <v>42948</v>
      </c>
      <c r="B82" s="118">
        <f t="shared" si="6"/>
        <v>2017</v>
      </c>
      <c r="C82" s="118">
        <f t="shared" si="8"/>
        <v>8</v>
      </c>
      <c r="D82" s="186">
        <f>Data!D81</f>
        <v>22370466.670000002</v>
      </c>
      <c r="E82" s="186">
        <f>Data!E81</f>
        <v>6434256.0108200004</v>
      </c>
      <c r="F82" s="185">
        <f ca="1">Data!F81</f>
        <v>738823.02853672043</v>
      </c>
      <c r="G82" s="185">
        <f t="shared" ca="1" si="9"/>
        <v>23109289.698536724</v>
      </c>
      <c r="H82" s="196">
        <f>Data!U81</f>
        <v>6.6999999999999957</v>
      </c>
      <c r="I82" s="187">
        <f>Data!X81</f>
        <v>136.4</v>
      </c>
      <c r="J82" s="187">
        <f>Data!AG81</f>
        <v>31</v>
      </c>
      <c r="K82" s="187">
        <f>Data!AU81</f>
        <v>0</v>
      </c>
      <c r="L82" s="188">
        <f>Data!M81</f>
        <v>158.96211500248234</v>
      </c>
      <c r="M82" s="187">
        <f>Data!AX81</f>
        <v>80</v>
      </c>
      <c r="N82" s="189">
        <f>Data!K81</f>
        <v>11880</v>
      </c>
      <c r="O82" s="191"/>
      <c r="P82" s="190">
        <f t="shared" si="10"/>
        <v>22094828.970858973</v>
      </c>
      <c r="Q82" s="92">
        <f t="shared" ca="1" si="11"/>
        <v>-1014460.7276777513</v>
      </c>
      <c r="R82" s="93">
        <f t="shared" ca="1" si="7"/>
        <v>4.5348214797780582E-2</v>
      </c>
      <c r="S82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210"/>
    </row>
    <row r="83" spans="1:31" x14ac:dyDescent="0.2">
      <c r="A83" s="97">
        <f>Purchases!A142</f>
        <v>42979</v>
      </c>
      <c r="B83" s="118">
        <f t="shared" si="6"/>
        <v>2017</v>
      </c>
      <c r="C83" s="118">
        <f t="shared" si="8"/>
        <v>9</v>
      </c>
      <c r="D83" s="186">
        <f>Data!D82</f>
        <v>19459266.670000002</v>
      </c>
      <c r="E83" s="186">
        <f>Data!E82</f>
        <v>5548386.131719999</v>
      </c>
      <c r="F83" s="185">
        <f ca="1">Data!F82</f>
        <v>752231.03152816196</v>
      </c>
      <c r="G83" s="185">
        <f t="shared" ca="1" si="9"/>
        <v>20211497.701528165</v>
      </c>
      <c r="H83" s="196">
        <f>Data!U82</f>
        <v>47.5</v>
      </c>
      <c r="I83" s="187">
        <f>Data!X82</f>
        <v>90.999999999999986</v>
      </c>
      <c r="J83" s="187">
        <f>Data!AG82</f>
        <v>30</v>
      </c>
      <c r="K83" s="187">
        <f>Data!AU82</f>
        <v>0</v>
      </c>
      <c r="L83" s="188">
        <f>Data!M82</f>
        <v>159.32034696231051</v>
      </c>
      <c r="M83" s="187">
        <f>Data!AX82</f>
        <v>81</v>
      </c>
      <c r="N83" s="189">
        <f>Data!K82</f>
        <v>11891</v>
      </c>
      <c r="O83" s="191"/>
      <c r="P83" s="190">
        <f t="shared" si="10"/>
        <v>20005660.370797742</v>
      </c>
      <c r="Q83" s="92">
        <f t="shared" ca="1" si="11"/>
        <v>-205837.33073042333</v>
      </c>
      <c r="R83" s="93">
        <f t="shared" ca="1" si="7"/>
        <v>1.0577856515413245E-2</v>
      </c>
      <c r="S83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210"/>
    </row>
    <row r="84" spans="1:31" x14ac:dyDescent="0.2">
      <c r="A84" s="97">
        <f>Purchases!A143</f>
        <v>43009</v>
      </c>
      <c r="B84" s="118">
        <f t="shared" si="6"/>
        <v>2017</v>
      </c>
      <c r="C84" s="118">
        <f t="shared" si="8"/>
        <v>10</v>
      </c>
      <c r="D84" s="186">
        <f>Data!D83</f>
        <v>17820433.329999998</v>
      </c>
      <c r="E84" s="186">
        <f>Data!E83</f>
        <v>4645663.9166400004</v>
      </c>
      <c r="F84" s="185">
        <f ca="1">Data!F83</f>
        <v>765639.03451960348</v>
      </c>
      <c r="G84" s="185">
        <f t="shared" ca="1" si="9"/>
        <v>18586072.364519604</v>
      </c>
      <c r="H84" s="196">
        <f>Data!U83</f>
        <v>151.59999999999997</v>
      </c>
      <c r="I84" s="187">
        <f>Data!X83</f>
        <v>27.5</v>
      </c>
      <c r="J84" s="187">
        <f>Data!AG83</f>
        <v>31</v>
      </c>
      <c r="K84" s="187">
        <f>Data!AU83</f>
        <v>0</v>
      </c>
      <c r="L84" s="188">
        <f>Data!M83</f>
        <v>159.67857892213868</v>
      </c>
      <c r="M84" s="187">
        <f>Data!AX83</f>
        <v>82</v>
      </c>
      <c r="N84" s="189">
        <f>Data!K83</f>
        <v>11902</v>
      </c>
      <c r="O84" s="191"/>
      <c r="P84" s="190">
        <f t="shared" si="10"/>
        <v>18753166.076334052</v>
      </c>
      <c r="Q84" s="92">
        <f t="shared" ca="1" si="11"/>
        <v>167093.71181444824</v>
      </c>
      <c r="R84" s="93">
        <f t="shared" ca="1" si="7"/>
        <v>9.3765234952593746E-3</v>
      </c>
      <c r="S84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210"/>
    </row>
    <row r="85" spans="1:31" x14ac:dyDescent="0.2">
      <c r="A85" s="97">
        <f>Purchases!A144</f>
        <v>43040</v>
      </c>
      <c r="B85" s="118">
        <f t="shared" si="6"/>
        <v>2017</v>
      </c>
      <c r="C85" s="118">
        <f t="shared" si="8"/>
        <v>11</v>
      </c>
      <c r="D85" s="186">
        <f>Data!D84</f>
        <v>18956833.329999998</v>
      </c>
      <c r="E85" s="186">
        <f>Data!E84</f>
        <v>4342402.4035</v>
      </c>
      <c r="F85" s="185">
        <f ca="1">Data!F84</f>
        <v>779047.03751104488</v>
      </c>
      <c r="G85" s="185">
        <f t="shared" ca="1" si="9"/>
        <v>19735880.367511041</v>
      </c>
      <c r="H85" s="196">
        <f>Data!U84</f>
        <v>413.8</v>
      </c>
      <c r="I85" s="187">
        <f>Data!X84</f>
        <v>0</v>
      </c>
      <c r="J85" s="187">
        <f>Data!AG84</f>
        <v>30</v>
      </c>
      <c r="K85" s="187">
        <f>Data!AU84</f>
        <v>0</v>
      </c>
      <c r="L85" s="188">
        <f>Data!M84</f>
        <v>160.03681088196686</v>
      </c>
      <c r="M85" s="187">
        <f>Data!AX84</f>
        <v>83</v>
      </c>
      <c r="N85" s="189">
        <f>Data!K84</f>
        <v>11913</v>
      </c>
      <c r="O85" s="191"/>
      <c r="P85" s="190">
        <f t="shared" si="10"/>
        <v>19915734.159826547</v>
      </c>
      <c r="Q85" s="92">
        <f t="shared" ca="1" si="11"/>
        <v>179853.79231550545</v>
      </c>
      <c r="R85" s="93">
        <f t="shared" ca="1" si="7"/>
        <v>9.4875441053163204E-3</v>
      </c>
      <c r="S85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210"/>
    </row>
    <row r="86" spans="1:31" x14ac:dyDescent="0.2">
      <c r="A86" s="97">
        <f>Purchases!A145</f>
        <v>43070</v>
      </c>
      <c r="B86" s="118">
        <f t="shared" si="6"/>
        <v>2017</v>
      </c>
      <c r="C86" s="118">
        <f t="shared" si="8"/>
        <v>12</v>
      </c>
      <c r="D86" s="186">
        <f>Data!D85</f>
        <v>21888466.670000002</v>
      </c>
      <c r="E86" s="186">
        <f>Data!E85</f>
        <v>4764981.3563499991</v>
      </c>
      <c r="F86" s="185">
        <f ca="1">Data!F85</f>
        <v>792455.04050248628</v>
      </c>
      <c r="G86" s="185">
        <f t="shared" ca="1" si="9"/>
        <v>22680921.710502487</v>
      </c>
      <c r="H86" s="196">
        <f>Data!U85</f>
        <v>672.00000000000011</v>
      </c>
      <c r="I86" s="187">
        <f>Data!X85</f>
        <v>0</v>
      </c>
      <c r="J86" s="187">
        <f>Data!AG85</f>
        <v>31</v>
      </c>
      <c r="K86" s="187">
        <f>Data!AU85</f>
        <v>0</v>
      </c>
      <c r="L86" s="188">
        <f>Data!M85</f>
        <v>160.39504284179503</v>
      </c>
      <c r="M86" s="187">
        <f>Data!AX85</f>
        <v>84</v>
      </c>
      <c r="N86" s="189">
        <f>Data!K85</f>
        <v>11923</v>
      </c>
      <c r="O86" s="191"/>
      <c r="P86" s="190">
        <f t="shared" si="10"/>
        <v>23248947.488162566</v>
      </c>
      <c r="Q86" s="92">
        <f t="shared" ca="1" si="11"/>
        <v>568025.7776600793</v>
      </c>
      <c r="R86" s="93">
        <f t="shared" ca="1" si="7"/>
        <v>2.5950916810386117E-2</v>
      </c>
      <c r="S86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</row>
    <row r="87" spans="1:31" x14ac:dyDescent="0.2">
      <c r="A87" s="97">
        <f>Purchases!A146</f>
        <v>43101</v>
      </c>
      <c r="B87" s="118">
        <f t="shared" si="6"/>
        <v>2018</v>
      </c>
      <c r="C87" s="118">
        <f t="shared" si="8"/>
        <v>1</v>
      </c>
      <c r="D87" s="186">
        <f>Data!D86</f>
        <v>22905166.670000002</v>
      </c>
      <c r="E87" s="186">
        <f>Data!E86</f>
        <v>6151832.5779499998</v>
      </c>
      <c r="F87" s="185">
        <f ca="1">Data!F86</f>
        <v>838056.0469939328</v>
      </c>
      <c r="G87" s="185">
        <f t="shared" ca="1" si="9"/>
        <v>23743222.716993935</v>
      </c>
      <c r="H87" s="196">
        <f>Data!U86</f>
        <v>705.60000000000014</v>
      </c>
      <c r="I87" s="187">
        <f>Data!X86</f>
        <v>0</v>
      </c>
      <c r="J87" s="187">
        <f>Data!AG86</f>
        <v>31</v>
      </c>
      <c r="K87" s="187">
        <f>Data!AU86</f>
        <v>0</v>
      </c>
      <c r="L87" s="188">
        <f>Data!M86</f>
        <v>160.78439282609799</v>
      </c>
      <c r="M87" s="187">
        <f>Data!AX86</f>
        <v>85</v>
      </c>
      <c r="N87" s="189">
        <f>Data!K86</f>
        <v>11932.833333333334</v>
      </c>
      <c r="O87" s="191"/>
      <c r="P87" s="190">
        <f t="shared" si="10"/>
        <v>23628753.090534732</v>
      </c>
      <c r="Q87" s="92">
        <f t="shared" ca="1" si="11"/>
        <v>-114469.62645920366</v>
      </c>
      <c r="R87" s="93">
        <f t="shared" ca="1" si="7"/>
        <v>4.9975461042652018E-3</v>
      </c>
      <c r="S87"/>
    </row>
    <row r="88" spans="1:31" x14ac:dyDescent="0.2">
      <c r="A88" s="97">
        <f>Purchases!A147</f>
        <v>43132</v>
      </c>
      <c r="B88" s="118">
        <f t="shared" si="6"/>
        <v>2018</v>
      </c>
      <c r="C88" s="118">
        <f t="shared" si="8"/>
        <v>2</v>
      </c>
      <c r="D88" s="186">
        <f>Data!D87</f>
        <v>19173200</v>
      </c>
      <c r="E88" s="186">
        <f>Data!E87</f>
        <v>6440644.0073600002</v>
      </c>
      <c r="F88" s="185">
        <f ca="1">Data!F87</f>
        <v>838912.80951703142</v>
      </c>
      <c r="G88" s="185">
        <f t="shared" ca="1" si="9"/>
        <v>20012112.80951703</v>
      </c>
      <c r="H88" s="196">
        <f>Data!U87</f>
        <v>544.49999999999989</v>
      </c>
      <c r="I88" s="187">
        <f>Data!X87</f>
        <v>0</v>
      </c>
      <c r="J88" s="187">
        <f>Data!AG87</f>
        <v>28</v>
      </c>
      <c r="K88" s="187">
        <f>Data!AU87</f>
        <v>0</v>
      </c>
      <c r="L88" s="188">
        <f>Data!M87</f>
        <v>161.17374281040094</v>
      </c>
      <c r="M88" s="187">
        <f>Data!AX87</f>
        <v>86</v>
      </c>
      <c r="N88" s="189">
        <f>Data!K87</f>
        <v>11942.666666666668</v>
      </c>
      <c r="O88" s="191"/>
      <c r="P88" s="190">
        <f t="shared" si="10"/>
        <v>20420105.586077183</v>
      </c>
      <c r="Q88" s="92">
        <f t="shared" ca="1" si="11"/>
        <v>407992.77656015381</v>
      </c>
      <c r="R88" s="93">
        <f t="shared" ca="1" si="7"/>
        <v>2.1279326171956367E-2</v>
      </c>
      <c r="S88"/>
    </row>
    <row r="89" spans="1:31" x14ac:dyDescent="0.2">
      <c r="A89" s="97">
        <f>Purchases!A148</f>
        <v>43160</v>
      </c>
      <c r="B89" s="118">
        <f t="shared" si="6"/>
        <v>2018</v>
      </c>
      <c r="C89" s="118">
        <f t="shared" si="8"/>
        <v>3</v>
      </c>
      <c r="D89" s="186">
        <f>Data!D88</f>
        <v>19615300</v>
      </c>
      <c r="E89" s="186">
        <f>Data!E88</f>
        <v>5212612.5706799999</v>
      </c>
      <c r="F89" s="185">
        <f ca="1">Data!F88</f>
        <v>839769.57204013004</v>
      </c>
      <c r="G89" s="185">
        <f t="shared" ca="1" si="9"/>
        <v>20455069.572040129</v>
      </c>
      <c r="H89" s="196">
        <f>Data!U88</f>
        <v>534.40000000000009</v>
      </c>
      <c r="I89" s="187">
        <f>Data!X88</f>
        <v>0</v>
      </c>
      <c r="J89" s="187">
        <f>Data!AG88</f>
        <v>31</v>
      </c>
      <c r="K89" s="187">
        <f>Data!AU88</f>
        <v>1</v>
      </c>
      <c r="L89" s="188">
        <f>Data!M88</f>
        <v>161.56309279470389</v>
      </c>
      <c r="M89" s="187">
        <f>Data!AX88</f>
        <v>87</v>
      </c>
      <c r="N89" s="189">
        <f>Data!K88</f>
        <v>11952.500000000002</v>
      </c>
      <c r="O89" s="191"/>
      <c r="P89" s="190">
        <f t="shared" si="10"/>
        <v>21149400.072723567</v>
      </c>
      <c r="Q89" s="92">
        <f t="shared" ca="1" si="11"/>
        <v>694330.50068343803</v>
      </c>
      <c r="R89" s="93">
        <f t="shared" ca="1" si="7"/>
        <v>3.5397393905952909E-2</v>
      </c>
      <c r="S89"/>
    </row>
    <row r="90" spans="1:31" x14ac:dyDescent="0.2">
      <c r="A90" s="97">
        <f>Purchases!A149</f>
        <v>43191</v>
      </c>
      <c r="B90" s="118">
        <f t="shared" si="6"/>
        <v>2018</v>
      </c>
      <c r="C90" s="118">
        <f t="shared" si="8"/>
        <v>4</v>
      </c>
      <c r="D90" s="186">
        <f>Data!D89</f>
        <v>17899266.670000002</v>
      </c>
      <c r="E90" s="186">
        <f>Data!E89</f>
        <v>5278300.1626599999</v>
      </c>
      <c r="F90" s="185">
        <f ca="1">Data!F89</f>
        <v>840626.33456322865</v>
      </c>
      <c r="G90" s="185">
        <f t="shared" ca="1" si="9"/>
        <v>18739893.004563231</v>
      </c>
      <c r="H90" s="196">
        <f>Data!U89</f>
        <v>395.6</v>
      </c>
      <c r="I90" s="187">
        <f>Data!X89</f>
        <v>0</v>
      </c>
      <c r="J90" s="187">
        <f>Data!AG89</f>
        <v>30</v>
      </c>
      <c r="K90" s="187">
        <f>Data!AU89</f>
        <v>1</v>
      </c>
      <c r="L90" s="188">
        <f>Data!M89</f>
        <v>161.95244277900684</v>
      </c>
      <c r="M90" s="187">
        <f>Data!AX89</f>
        <v>88</v>
      </c>
      <c r="N90" s="189">
        <f>Data!K89</f>
        <v>11962.333333333336</v>
      </c>
      <c r="O90" s="191"/>
      <c r="P90" s="190">
        <f t="shared" si="10"/>
        <v>19149646.134654082</v>
      </c>
      <c r="Q90" s="92">
        <f t="shared" ca="1" si="11"/>
        <v>409753.13009085134</v>
      </c>
      <c r="R90" s="93">
        <f t="shared" ca="1" si="7"/>
        <v>2.2892174168096871E-2</v>
      </c>
      <c r="S90"/>
    </row>
    <row r="91" spans="1:31" x14ac:dyDescent="0.2">
      <c r="A91" s="97">
        <f>Purchases!A150</f>
        <v>43221</v>
      </c>
      <c r="B91" s="118">
        <f t="shared" si="6"/>
        <v>2018</v>
      </c>
      <c r="C91" s="118">
        <f t="shared" si="8"/>
        <v>5</v>
      </c>
      <c r="D91" s="186">
        <f>Data!D90</f>
        <v>18615766.670000002</v>
      </c>
      <c r="E91" s="186">
        <f>Data!E90</f>
        <v>4734709.4106999999</v>
      </c>
      <c r="F91" s="185">
        <f ca="1">Data!F90</f>
        <v>841483.09708632727</v>
      </c>
      <c r="G91" s="185">
        <f t="shared" ca="1" si="9"/>
        <v>19457249.767086331</v>
      </c>
      <c r="H91" s="196">
        <f>Data!U90</f>
        <v>62.900000000000006</v>
      </c>
      <c r="I91" s="187">
        <f>Data!X90</f>
        <v>82.1</v>
      </c>
      <c r="J91" s="187">
        <f>Data!AG90</f>
        <v>31</v>
      </c>
      <c r="K91" s="187">
        <f>Data!AU90</f>
        <v>1</v>
      </c>
      <c r="L91" s="188">
        <f>Data!M90</f>
        <v>162.3417927633098</v>
      </c>
      <c r="M91" s="187">
        <f>Data!AX90</f>
        <v>89</v>
      </c>
      <c r="N91" s="189">
        <f>Data!K90</f>
        <v>11972.16666666667</v>
      </c>
      <c r="O91" s="191"/>
      <c r="P91" s="190">
        <f t="shared" si="10"/>
        <v>19714380.099222649</v>
      </c>
      <c r="Q91" s="92">
        <f t="shared" ca="1" si="11"/>
        <v>257130.33213631809</v>
      </c>
      <c r="R91" s="93">
        <f t="shared" ca="1" si="7"/>
        <v>1.3812502954857784E-2</v>
      </c>
      <c r="S91"/>
    </row>
    <row r="92" spans="1:31" x14ac:dyDescent="0.2">
      <c r="A92" s="97">
        <f>Purchases!A151</f>
        <v>43252</v>
      </c>
      <c r="B92" s="118">
        <f t="shared" si="6"/>
        <v>2018</v>
      </c>
      <c r="C92" s="118">
        <f t="shared" si="8"/>
        <v>6</v>
      </c>
      <c r="D92" s="186">
        <f>Data!D91</f>
        <v>21326300</v>
      </c>
      <c r="E92" s="186">
        <f>Data!E91</f>
        <v>4591129.8232199997</v>
      </c>
      <c r="F92" s="185">
        <f ca="1">Data!F91</f>
        <v>842339.85960942588</v>
      </c>
      <c r="G92" s="185">
        <f t="shared" ca="1" si="9"/>
        <v>22168639.859609425</v>
      </c>
      <c r="H92" s="196">
        <f>Data!U91</f>
        <v>7.6000000000000014</v>
      </c>
      <c r="I92" s="187">
        <f>Data!X91</f>
        <v>148.80000000000001</v>
      </c>
      <c r="J92" s="187">
        <f>Data!AG91</f>
        <v>30</v>
      </c>
      <c r="K92" s="187">
        <f>Data!AU91</f>
        <v>0</v>
      </c>
      <c r="L92" s="188">
        <f>Data!M91</f>
        <v>162.73114274761275</v>
      </c>
      <c r="M92" s="187">
        <f>Data!AX91</f>
        <v>90</v>
      </c>
      <c r="N92" s="189">
        <f>Data!K91</f>
        <v>11982.000000000004</v>
      </c>
      <c r="O92" s="191"/>
      <c r="P92" s="190">
        <f t="shared" si="10"/>
        <v>22283289.369670328</v>
      </c>
      <c r="Q92" s="92">
        <f t="shared" ca="1" si="11"/>
        <v>114649.51006090268</v>
      </c>
      <c r="R92" s="93">
        <f t="shared" ca="1" si="7"/>
        <v>5.375968173612051E-3</v>
      </c>
      <c r="S92"/>
    </row>
    <row r="93" spans="1:31" x14ac:dyDescent="0.2">
      <c r="A93" s="97">
        <f>Purchases!A152</f>
        <v>43282</v>
      </c>
      <c r="B93" s="118">
        <f t="shared" si="6"/>
        <v>2018</v>
      </c>
      <c r="C93" s="118">
        <f t="shared" si="8"/>
        <v>7</v>
      </c>
      <c r="D93" s="186">
        <f>Data!D92</f>
        <v>25954933.329999998</v>
      </c>
      <c r="E93" s="186">
        <f>Data!E92</f>
        <v>5430424.4713999992</v>
      </c>
      <c r="F93" s="185">
        <f ca="1">Data!F92</f>
        <v>843196.6221325245</v>
      </c>
      <c r="G93" s="185">
        <f t="shared" ca="1" si="9"/>
        <v>26798129.952132523</v>
      </c>
      <c r="H93" s="196">
        <f>Data!U92</f>
        <v>0.19999999999999929</v>
      </c>
      <c r="I93" s="187">
        <f>Data!X92</f>
        <v>225.1</v>
      </c>
      <c r="J93" s="187">
        <f>Data!AG92</f>
        <v>31</v>
      </c>
      <c r="K93" s="187">
        <f>Data!AU92</f>
        <v>0</v>
      </c>
      <c r="L93" s="188">
        <f>Data!M92</f>
        <v>163.1204927319157</v>
      </c>
      <c r="M93" s="187">
        <f>Data!AX92</f>
        <v>91</v>
      </c>
      <c r="N93" s="189">
        <f>Data!K92</f>
        <v>11991.833333333338</v>
      </c>
      <c r="O93" s="191"/>
      <c r="P93" s="190">
        <f t="shared" si="10"/>
        <v>26165167.461851444</v>
      </c>
      <c r="Q93" s="92">
        <f t="shared" ca="1" si="11"/>
        <v>-632962.49028107896</v>
      </c>
      <c r="R93" s="93">
        <f t="shared" ca="1" si="7"/>
        <v>2.4386981936473307E-2</v>
      </c>
      <c r="S93"/>
    </row>
    <row r="94" spans="1:31" x14ac:dyDescent="0.2">
      <c r="A94" s="97">
        <f>Purchases!A153</f>
        <v>43313</v>
      </c>
      <c r="B94" s="118">
        <f t="shared" si="6"/>
        <v>2018</v>
      </c>
      <c r="C94" s="118">
        <f t="shared" si="8"/>
        <v>8</v>
      </c>
      <c r="D94" s="186">
        <f>Data!D93</f>
        <v>26266700</v>
      </c>
      <c r="E94" s="186">
        <f>Data!E93</f>
        <v>6859623.5653199991</v>
      </c>
      <c r="F94" s="185">
        <f ca="1">Data!F93</f>
        <v>844053.38465562311</v>
      </c>
      <c r="G94" s="185">
        <f t="shared" ca="1" si="9"/>
        <v>27110753.384655625</v>
      </c>
      <c r="H94" s="196">
        <f>Data!U93</f>
        <v>0</v>
      </c>
      <c r="I94" s="187">
        <f>Data!X93</f>
        <v>221.79999999999995</v>
      </c>
      <c r="J94" s="187">
        <f>Data!AG93</f>
        <v>31</v>
      </c>
      <c r="K94" s="187">
        <f>Data!AU93</f>
        <v>0</v>
      </c>
      <c r="L94" s="188">
        <f>Data!M93</f>
        <v>163.50984271621866</v>
      </c>
      <c r="M94" s="187">
        <f>Data!AX93</f>
        <v>92</v>
      </c>
      <c r="N94" s="189">
        <f>Data!K93</f>
        <v>12001.666666666672</v>
      </c>
      <c r="O94" s="191"/>
      <c r="P94" s="190">
        <f t="shared" si="10"/>
        <v>26022734.539975818</v>
      </c>
      <c r="Q94" s="92">
        <f t="shared" ca="1" si="11"/>
        <v>-1088018.8446798064</v>
      </c>
      <c r="R94" s="93">
        <f t="shared" ca="1" si="7"/>
        <v>4.1421984668032388E-2</v>
      </c>
      <c r="S94"/>
    </row>
    <row r="95" spans="1:31" x14ac:dyDescent="0.2">
      <c r="A95" s="97">
        <f>Purchases!A154</f>
        <v>43344</v>
      </c>
      <c r="B95" s="118">
        <f t="shared" si="6"/>
        <v>2018</v>
      </c>
      <c r="C95" s="118">
        <f t="shared" si="8"/>
        <v>9</v>
      </c>
      <c r="D95" s="186">
        <f>Data!D94</f>
        <v>21262033.329999998</v>
      </c>
      <c r="E95" s="186">
        <f>Data!E94</f>
        <v>6876333.0363399992</v>
      </c>
      <c r="F95" s="185">
        <f ca="1">Data!F94</f>
        <v>844910.14717872173</v>
      </c>
      <c r="G95" s="185">
        <f t="shared" ca="1" si="9"/>
        <v>22106943.477178719</v>
      </c>
      <c r="H95" s="196">
        <f>Data!U94</f>
        <v>41.400000000000006</v>
      </c>
      <c r="I95" s="187">
        <f>Data!X94</f>
        <v>125.1</v>
      </c>
      <c r="J95" s="187">
        <f>Data!AG94</f>
        <v>30</v>
      </c>
      <c r="K95" s="187">
        <f>Data!AU94</f>
        <v>0</v>
      </c>
      <c r="L95" s="188">
        <f>Data!M94</f>
        <v>163.89919270052161</v>
      </c>
      <c r="M95" s="187">
        <f>Data!AX94</f>
        <v>93</v>
      </c>
      <c r="N95" s="189">
        <f>Data!K94</f>
        <v>12011.500000000005</v>
      </c>
      <c r="O95" s="191"/>
      <c r="P95" s="190">
        <f t="shared" si="10"/>
        <v>21606769.30944337</v>
      </c>
      <c r="Q95" s="92">
        <f t="shared" ca="1" si="11"/>
        <v>-500174.16773534939</v>
      </c>
      <c r="R95" s="93">
        <f t="shared" ca="1" si="7"/>
        <v>2.3524286693202612E-2</v>
      </c>
      <c r="S95"/>
    </row>
    <row r="96" spans="1:31" x14ac:dyDescent="0.2">
      <c r="A96" s="97">
        <f>Purchases!A155</f>
        <v>43374</v>
      </c>
      <c r="B96" s="118">
        <f t="shared" si="6"/>
        <v>2018</v>
      </c>
      <c r="C96" s="118">
        <f t="shared" si="8"/>
        <v>10</v>
      </c>
      <c r="D96" s="186">
        <f>Data!D95</f>
        <v>18523233.329999998</v>
      </c>
      <c r="E96" s="186">
        <f>Data!E95</f>
        <v>5435062.2424600003</v>
      </c>
      <c r="F96" s="185">
        <f ca="1">Data!F95</f>
        <v>845766.90970182035</v>
      </c>
      <c r="G96" s="185">
        <f t="shared" ca="1" si="9"/>
        <v>19369000.239701819</v>
      </c>
      <c r="H96" s="196">
        <f>Data!U95</f>
        <v>242.29999999999998</v>
      </c>
      <c r="I96" s="187">
        <f>Data!X95</f>
        <v>31.8</v>
      </c>
      <c r="J96" s="187">
        <f>Data!AG95</f>
        <v>31</v>
      </c>
      <c r="K96" s="187">
        <f>Data!AU95</f>
        <v>0</v>
      </c>
      <c r="L96" s="188">
        <f>Data!M95</f>
        <v>164.28854268482456</v>
      </c>
      <c r="M96" s="187">
        <f>Data!AX95</f>
        <v>94</v>
      </c>
      <c r="N96" s="189">
        <f>Data!K95</f>
        <v>12021.333333333339</v>
      </c>
      <c r="O96" s="191"/>
      <c r="P96" s="190">
        <f t="shared" si="10"/>
        <v>20064760.111500323</v>
      </c>
      <c r="Q96" s="92">
        <f t="shared" ca="1" si="11"/>
        <v>695759.87179850414</v>
      </c>
      <c r="R96" s="93">
        <f t="shared" ca="1" si="7"/>
        <v>3.756146993363519E-2</v>
      </c>
      <c r="S96"/>
    </row>
    <row r="97" spans="1:21" x14ac:dyDescent="0.2">
      <c r="A97" s="97">
        <f>Purchases!A156</f>
        <v>43405</v>
      </c>
      <c r="B97" s="118">
        <f t="shared" si="6"/>
        <v>2018</v>
      </c>
      <c r="C97" s="118">
        <f t="shared" si="8"/>
        <v>11</v>
      </c>
      <c r="D97" s="186">
        <f>Data!D96</f>
        <v>19925200</v>
      </c>
      <c r="E97" s="186">
        <f>Data!E96</f>
        <v>4664771.2834799998</v>
      </c>
      <c r="F97" s="185">
        <f ca="1">Data!F96</f>
        <v>846623.67222491896</v>
      </c>
      <c r="G97" s="185">
        <f t="shared" ca="1" si="9"/>
        <v>20771823.67222492</v>
      </c>
      <c r="H97" s="196">
        <f>Data!U96</f>
        <v>484.60000000000008</v>
      </c>
      <c r="I97" s="187">
        <f>Data!X96</f>
        <v>0</v>
      </c>
      <c r="J97" s="187">
        <f>Data!AG96</f>
        <v>30</v>
      </c>
      <c r="K97" s="187">
        <f>Data!AU96</f>
        <v>0</v>
      </c>
      <c r="L97" s="188">
        <f>Data!M96</f>
        <v>164.67789266912752</v>
      </c>
      <c r="M97" s="187">
        <f>Data!AX96</f>
        <v>95</v>
      </c>
      <c r="N97" s="189">
        <f>Data!K96</f>
        <v>12031.166666666673</v>
      </c>
      <c r="O97" s="191"/>
      <c r="P97" s="190">
        <f t="shared" si="10"/>
        <v>20813399.239319019</v>
      </c>
      <c r="Q97" s="92">
        <f t="shared" ca="1" si="11"/>
        <v>41575.567094098777</v>
      </c>
      <c r="R97" s="93">
        <f t="shared" ca="1" si="7"/>
        <v>2.0865821720283248E-3</v>
      </c>
      <c r="S97"/>
    </row>
    <row r="98" spans="1:21" x14ac:dyDescent="0.2">
      <c r="A98" s="97">
        <f>Purchases!A157</f>
        <v>43435</v>
      </c>
      <c r="B98" s="118">
        <f t="shared" si="6"/>
        <v>2018</v>
      </c>
      <c r="C98" s="118">
        <f t="shared" si="8"/>
        <v>12</v>
      </c>
      <c r="D98" s="186">
        <f>Data!D97</f>
        <v>21085833.329999998</v>
      </c>
      <c r="E98" s="186">
        <f>Data!E97</f>
        <v>5355771.8004999999</v>
      </c>
      <c r="F98" s="185">
        <f ca="1">Data!F97</f>
        <v>847480.43474801758</v>
      </c>
      <c r="G98" s="185">
        <f t="shared" ca="1" si="9"/>
        <v>21933313.764748015</v>
      </c>
      <c r="H98" s="196">
        <f>Data!U97</f>
        <v>533.80000000000007</v>
      </c>
      <c r="I98" s="187">
        <f>Data!X97</f>
        <v>0</v>
      </c>
      <c r="J98" s="187">
        <f>Data!AG97</f>
        <v>31</v>
      </c>
      <c r="K98" s="187">
        <f>Data!AU97</f>
        <v>0</v>
      </c>
      <c r="L98" s="188">
        <f>Data!M97</f>
        <v>165.06724265343047</v>
      </c>
      <c r="M98" s="187">
        <f>Data!AX97</f>
        <v>96</v>
      </c>
      <c r="N98" s="189">
        <f>Data!K97</f>
        <v>12055</v>
      </c>
      <c r="O98" s="191"/>
      <c r="P98" s="190">
        <f t="shared" si="10"/>
        <v>21846639.232759647</v>
      </c>
      <c r="Q98" s="92">
        <f t="shared" ca="1" si="11"/>
        <v>-86674.531988367438</v>
      </c>
      <c r="R98" s="93">
        <f t="shared" ca="1" si="7"/>
        <v>4.1105575782509254E-3</v>
      </c>
      <c r="S98"/>
    </row>
    <row r="99" spans="1:21" x14ac:dyDescent="0.2">
      <c r="A99" s="97">
        <f>Purchases!A158</f>
        <v>43466</v>
      </c>
      <c r="B99" s="118">
        <f t="shared" si="6"/>
        <v>2019</v>
      </c>
      <c r="C99" s="118">
        <f t="shared" si="8"/>
        <v>1</v>
      </c>
      <c r="D99" s="186">
        <f>Data!D98</f>
        <v>22756420</v>
      </c>
      <c r="E99" s="186">
        <f>Data!E98</f>
        <v>5895781.54538</v>
      </c>
      <c r="F99" s="185">
        <f ca="1">Data!F98</f>
        <v>896792.23441008932</v>
      </c>
      <c r="G99" s="185">
        <f t="shared" ca="1" si="9"/>
        <v>23653212.234410089</v>
      </c>
      <c r="H99" s="196">
        <f>Data!U98</f>
        <v>711.8</v>
      </c>
      <c r="I99" s="187">
        <f>Data!X98</f>
        <v>0</v>
      </c>
      <c r="J99" s="187">
        <f>Data!AG98</f>
        <v>31</v>
      </c>
      <c r="K99" s="187">
        <f>Data!AU98</f>
        <v>0</v>
      </c>
      <c r="L99" s="188">
        <f>Data!M98</f>
        <v>165.3520188722207</v>
      </c>
      <c r="M99" s="187">
        <f>Data!AX98</f>
        <v>97</v>
      </c>
      <c r="N99" s="189">
        <f>Data!K98</f>
        <v>12070.916666666666</v>
      </c>
      <c r="O99" s="191"/>
      <c r="P99" s="190">
        <f t="shared" si="10"/>
        <v>23813400.380272329</v>
      </c>
      <c r="Q99" s="92">
        <f t="shared" ca="1" si="11"/>
        <v>160188.14586224034</v>
      </c>
      <c r="R99" s="93">
        <f t="shared" ca="1" si="7"/>
        <v>7.0392507196756059E-3</v>
      </c>
      <c r="S99"/>
    </row>
    <row r="100" spans="1:21" x14ac:dyDescent="0.2">
      <c r="A100" s="97">
        <f>Purchases!A159</f>
        <v>43497</v>
      </c>
      <c r="B100" s="118">
        <f t="shared" si="6"/>
        <v>2019</v>
      </c>
      <c r="C100" s="118">
        <f t="shared" si="8"/>
        <v>2</v>
      </c>
      <c r="D100" s="186">
        <f>Data!D99</f>
        <v>20319680</v>
      </c>
      <c r="E100" s="186">
        <f>Data!E99</f>
        <v>6344426.8998599993</v>
      </c>
      <c r="F100" s="185">
        <f ca="1">Data!F99</f>
        <v>898596.21286400827</v>
      </c>
      <c r="G100" s="185">
        <f t="shared" ca="1" si="9"/>
        <v>21218276.212864008</v>
      </c>
      <c r="H100" s="196">
        <f>Data!U99</f>
        <v>580.90000000000009</v>
      </c>
      <c r="I100" s="187">
        <f>Data!X99</f>
        <v>0</v>
      </c>
      <c r="J100" s="187">
        <f>Data!AG99</f>
        <v>28</v>
      </c>
      <c r="K100" s="187">
        <f>Data!AU99</f>
        <v>0</v>
      </c>
      <c r="L100" s="188">
        <f>Data!M99</f>
        <v>165.63679509101092</v>
      </c>
      <c r="M100" s="187">
        <f>Data!AX99</f>
        <v>98</v>
      </c>
      <c r="N100" s="189">
        <f>Data!K99</f>
        <v>12086.833333333332</v>
      </c>
      <c r="O100" s="191"/>
      <c r="P100" s="190">
        <f t="shared" si="10"/>
        <v>20934543.293031719</v>
      </c>
      <c r="Q100" s="92">
        <f t="shared" ca="1" si="11"/>
        <v>-283732.91983228922</v>
      </c>
      <c r="R100" s="93">
        <f t="shared" ca="1" si="7"/>
        <v>1.3963454140630622E-2</v>
      </c>
      <c r="S100"/>
    </row>
    <row r="101" spans="1:21" x14ac:dyDescent="0.2">
      <c r="A101" s="97">
        <f>Purchases!A160</f>
        <v>43525</v>
      </c>
      <c r="B101" s="118">
        <f t="shared" si="6"/>
        <v>2019</v>
      </c>
      <c r="C101" s="118">
        <f t="shared" si="8"/>
        <v>3</v>
      </c>
      <c r="D101" s="186">
        <f>Data!D100</f>
        <v>20479900</v>
      </c>
      <c r="E101" s="186">
        <f>Data!E100</f>
        <v>5629704.5296799997</v>
      </c>
      <c r="F101" s="185">
        <f ca="1">Data!F100</f>
        <v>900400.19131792709</v>
      </c>
      <c r="G101" s="185">
        <f t="shared" ca="1" si="9"/>
        <v>21380300.191317927</v>
      </c>
      <c r="H101" s="196">
        <f>Data!U100</f>
        <v>549.4</v>
      </c>
      <c r="I101" s="187">
        <f>Data!X100</f>
        <v>0</v>
      </c>
      <c r="J101" s="187">
        <f>Data!AG100</f>
        <v>31</v>
      </c>
      <c r="K101" s="187">
        <f>Data!AU100</f>
        <v>1</v>
      </c>
      <c r="L101" s="188">
        <f>Data!M100</f>
        <v>165.92157130980115</v>
      </c>
      <c r="M101" s="187">
        <f>Data!AX100</f>
        <v>99</v>
      </c>
      <c r="N101" s="189">
        <f>Data!K100</f>
        <v>12102.749999999998</v>
      </c>
      <c r="O101" s="191"/>
      <c r="P101" s="190">
        <f t="shared" si="10"/>
        <v>21425592.114575792</v>
      </c>
      <c r="Q101" s="92">
        <f t="shared" ca="1" si="11"/>
        <v>45291.923257865012</v>
      </c>
      <c r="R101" s="93">
        <f t="shared" ca="1" si="7"/>
        <v>2.2115304888141551E-3</v>
      </c>
      <c r="S101"/>
    </row>
    <row r="102" spans="1:21" x14ac:dyDescent="0.2">
      <c r="A102" s="97">
        <f>Purchases!A161</f>
        <v>43556</v>
      </c>
      <c r="B102" s="118">
        <f t="shared" si="6"/>
        <v>2019</v>
      </c>
      <c r="C102" s="118">
        <f t="shared" si="8"/>
        <v>4</v>
      </c>
      <c r="D102" s="186">
        <f>Data!D101</f>
        <v>17330880</v>
      </c>
      <c r="E102" s="186">
        <f>Data!E101</f>
        <v>5550926.9573600003</v>
      </c>
      <c r="F102" s="185">
        <f ca="1">Data!F101</f>
        <v>902204.16977184603</v>
      </c>
      <c r="G102" s="185">
        <f t="shared" ca="1" si="9"/>
        <v>18233084.169771846</v>
      </c>
      <c r="H102" s="196">
        <f>Data!U101</f>
        <v>278.40000000000003</v>
      </c>
      <c r="I102" s="187">
        <f>Data!X101</f>
        <v>0.39999999999999858</v>
      </c>
      <c r="J102" s="187">
        <f>Data!AG101</f>
        <v>30</v>
      </c>
      <c r="K102" s="187">
        <f>Data!AU101</f>
        <v>1</v>
      </c>
      <c r="L102" s="188">
        <f>Data!M101</f>
        <v>166.20634752859138</v>
      </c>
      <c r="M102" s="187">
        <f>Data!AX101</f>
        <v>100</v>
      </c>
      <c r="N102" s="189">
        <f>Data!K101</f>
        <v>12118.666666666664</v>
      </c>
      <c r="O102" s="191"/>
      <c r="P102" s="190">
        <f t="shared" si="10"/>
        <v>17986056.465880815</v>
      </c>
      <c r="Q102" s="92">
        <f t="shared" ca="1" si="11"/>
        <v>-247027.70389103144</v>
      </c>
      <c r="R102" s="93">
        <f t="shared" ca="1" si="7"/>
        <v>1.4253615736248329E-2</v>
      </c>
      <c r="S102"/>
    </row>
    <row r="103" spans="1:21" x14ac:dyDescent="0.2">
      <c r="A103" s="97">
        <f>Purchases!A162</f>
        <v>43586</v>
      </c>
      <c r="B103" s="118">
        <f t="shared" si="6"/>
        <v>2019</v>
      </c>
      <c r="C103" s="118">
        <f t="shared" si="8"/>
        <v>5</v>
      </c>
      <c r="D103" s="186">
        <f>Data!D102</f>
        <v>17274480</v>
      </c>
      <c r="E103" s="186">
        <f>Data!E102</f>
        <v>4483993.9671200002</v>
      </c>
      <c r="F103" s="185">
        <f ca="1">Data!F102</f>
        <v>904008.14822576486</v>
      </c>
      <c r="G103" s="185">
        <f t="shared" ca="1" si="9"/>
        <v>18178488.148225766</v>
      </c>
      <c r="H103" s="196">
        <f>Data!U102</f>
        <v>139.50000000000006</v>
      </c>
      <c r="I103" s="187">
        <f>Data!X102</f>
        <v>22.3</v>
      </c>
      <c r="J103" s="187">
        <f>Data!AG102</f>
        <v>31</v>
      </c>
      <c r="K103" s="187">
        <f>Data!AU102</f>
        <v>1</v>
      </c>
      <c r="L103" s="188">
        <f>Data!M102</f>
        <v>166.49112374738161</v>
      </c>
      <c r="M103" s="187">
        <f>Data!AX102</f>
        <v>101</v>
      </c>
      <c r="N103" s="189">
        <f>Data!K102</f>
        <v>12134.58333333333</v>
      </c>
      <c r="O103" s="191"/>
      <c r="P103" s="190">
        <f t="shared" si="10"/>
        <v>17942411.046990987</v>
      </c>
      <c r="Q103" s="92">
        <f t="shared" ca="1" si="11"/>
        <v>-236077.10123477876</v>
      </c>
      <c r="R103" s="93">
        <f t="shared" ca="1" si="7"/>
        <v>1.3666234887231267E-2</v>
      </c>
      <c r="S103"/>
    </row>
    <row r="104" spans="1:21" x14ac:dyDescent="0.2">
      <c r="A104" s="97">
        <f>Purchases!A163</f>
        <v>43617</v>
      </c>
      <c r="B104" s="118">
        <f t="shared" si="6"/>
        <v>2019</v>
      </c>
      <c r="C104" s="118">
        <f t="shared" si="8"/>
        <v>6</v>
      </c>
      <c r="D104" s="186">
        <f>Data!D103</f>
        <v>19386900</v>
      </c>
      <c r="E104" s="186">
        <f>Data!E103</f>
        <v>4311188.5068800002</v>
      </c>
      <c r="F104" s="185">
        <f ca="1">Data!F103</f>
        <v>905812.12667968369</v>
      </c>
      <c r="G104" s="185">
        <f t="shared" ca="1" si="9"/>
        <v>20292712.126679685</v>
      </c>
      <c r="H104" s="196">
        <f>Data!U103</f>
        <v>23.9</v>
      </c>
      <c r="I104" s="187">
        <f>Data!X103</f>
        <v>103.1</v>
      </c>
      <c r="J104" s="187">
        <f>Data!AG103</f>
        <v>30</v>
      </c>
      <c r="K104" s="187">
        <f>Data!AU103</f>
        <v>0</v>
      </c>
      <c r="L104" s="188">
        <f>Data!M103</f>
        <v>166.77589996617183</v>
      </c>
      <c r="M104" s="187">
        <f>Data!AX103</f>
        <v>102</v>
      </c>
      <c r="N104" s="189">
        <f>Data!K103</f>
        <v>12150.499999999996</v>
      </c>
      <c r="O104" s="191"/>
      <c r="P104" s="190">
        <f t="shared" si="10"/>
        <v>20486408.177722193</v>
      </c>
      <c r="Q104" s="92">
        <f t="shared" ca="1" si="11"/>
        <v>193696.05104250833</v>
      </c>
      <c r="R104" s="93">
        <f t="shared" ca="1" si="7"/>
        <v>9.9910790813646493E-3</v>
      </c>
      <c r="S104"/>
    </row>
    <row r="105" spans="1:21" x14ac:dyDescent="0.2">
      <c r="A105" s="97">
        <f>Purchases!A164</f>
        <v>43647</v>
      </c>
      <c r="B105" s="118">
        <f t="shared" si="6"/>
        <v>2019</v>
      </c>
      <c r="C105" s="118">
        <f t="shared" si="8"/>
        <v>7</v>
      </c>
      <c r="D105" s="186">
        <f>Data!D104</f>
        <v>27626160</v>
      </c>
      <c r="E105" s="186">
        <f>Data!E104</f>
        <v>4945910.2180999992</v>
      </c>
      <c r="F105" s="185">
        <f ca="1">Data!F104</f>
        <v>907616.10513360263</v>
      </c>
      <c r="G105" s="185">
        <f t="shared" ca="1" si="9"/>
        <v>28533776.105133604</v>
      </c>
      <c r="H105" s="196">
        <f>Data!U104</f>
        <v>0</v>
      </c>
      <c r="I105" s="187">
        <f>Data!X104</f>
        <v>253.60000000000002</v>
      </c>
      <c r="J105" s="187">
        <f>Data!AG104</f>
        <v>31</v>
      </c>
      <c r="K105" s="187">
        <f>Data!AU104</f>
        <v>0</v>
      </c>
      <c r="L105" s="188">
        <f>Data!M104</f>
        <v>167.06067618496206</v>
      </c>
      <c r="M105" s="187">
        <f>Data!AX104</f>
        <v>103</v>
      </c>
      <c r="N105" s="189">
        <f>Data!K104</f>
        <v>12166.416666666662</v>
      </c>
      <c r="O105" s="191"/>
      <c r="P105" s="190">
        <f t="shared" si="10"/>
        <v>27560146.624273334</v>
      </c>
      <c r="Q105" s="92">
        <f t="shared" ca="1" si="11"/>
        <v>-973629.48086027056</v>
      </c>
      <c r="R105" s="93">
        <f t="shared" ca="1" si="7"/>
        <v>3.5243026206330179E-2</v>
      </c>
      <c r="S105"/>
    </row>
    <row r="106" spans="1:21" x14ac:dyDescent="0.2">
      <c r="A106" s="97">
        <f>Purchases!A165</f>
        <v>43678</v>
      </c>
      <c r="B106" s="118">
        <f t="shared" si="6"/>
        <v>2019</v>
      </c>
      <c r="C106" s="118">
        <f t="shared" si="8"/>
        <v>8</v>
      </c>
      <c r="D106" s="186">
        <f>Data!D105</f>
        <v>24612440</v>
      </c>
      <c r="E106" s="186">
        <f>Data!E105</f>
        <v>7444291.86326</v>
      </c>
      <c r="F106" s="185">
        <f ca="1">Data!F105</f>
        <v>909420.08358752145</v>
      </c>
      <c r="G106" s="185">
        <f t="shared" ca="1" si="9"/>
        <v>25521860.08358752</v>
      </c>
      <c r="H106" s="196">
        <f>Data!U105</f>
        <v>0.39999999999999858</v>
      </c>
      <c r="I106" s="187">
        <f>Data!X105</f>
        <v>187.09999999999994</v>
      </c>
      <c r="J106" s="187">
        <f>Data!AG105</f>
        <v>31</v>
      </c>
      <c r="K106" s="187">
        <f>Data!AU105</f>
        <v>0</v>
      </c>
      <c r="L106" s="188">
        <f>Data!M105</f>
        <v>167.34545240375229</v>
      </c>
      <c r="M106" s="187">
        <f>Data!AX105</f>
        <v>104</v>
      </c>
      <c r="N106" s="189">
        <f>Data!K105</f>
        <v>12182.333333333328</v>
      </c>
      <c r="O106" s="191"/>
      <c r="P106" s="190">
        <f t="shared" si="10"/>
        <v>24545998.933398779</v>
      </c>
      <c r="Q106" s="92">
        <f t="shared" ca="1" si="11"/>
        <v>-975861.15018874034</v>
      </c>
      <c r="R106" s="93">
        <f t="shared" ca="1" si="7"/>
        <v>3.9649102250274265E-2</v>
      </c>
      <c r="S106"/>
    </row>
    <row r="107" spans="1:21" x14ac:dyDescent="0.2">
      <c r="A107" s="97">
        <f>Purchases!A166</f>
        <v>43709</v>
      </c>
      <c r="B107" s="118">
        <f t="shared" si="6"/>
        <v>2019</v>
      </c>
      <c r="C107" s="118">
        <f t="shared" si="8"/>
        <v>9</v>
      </c>
      <c r="D107" s="186">
        <f>Data!D106</f>
        <v>20453280</v>
      </c>
      <c r="E107" s="186">
        <f>Data!E106</f>
        <v>6404989.5357000008</v>
      </c>
      <c r="F107" s="185">
        <f ca="1">Data!F106</f>
        <v>911224.0620414404</v>
      </c>
      <c r="G107" s="185">
        <f t="shared" ca="1" si="9"/>
        <v>21364504.062041439</v>
      </c>
      <c r="H107" s="196">
        <f>Data!U106</f>
        <v>14.699999999999998</v>
      </c>
      <c r="I107" s="187">
        <f>Data!X106</f>
        <v>98.300000000000011</v>
      </c>
      <c r="J107" s="187">
        <f>Data!AG106</f>
        <v>30</v>
      </c>
      <c r="K107" s="187">
        <f>Data!AU106</f>
        <v>0</v>
      </c>
      <c r="L107" s="188">
        <f>Data!M106</f>
        <v>167.63022862254252</v>
      </c>
      <c r="M107" s="187">
        <f>Data!AX106</f>
        <v>105</v>
      </c>
      <c r="N107" s="189">
        <f>Data!K106</f>
        <v>12198.249999999995</v>
      </c>
      <c r="O107" s="191"/>
      <c r="P107" s="190">
        <f t="shared" si="10"/>
        <v>20188496.74468828</v>
      </c>
      <c r="Q107" s="92">
        <f t="shared" ca="1" si="11"/>
        <v>-1176007.3173531592</v>
      </c>
      <c r="R107" s="93">
        <f t="shared" ca="1" si="7"/>
        <v>5.7497248233689617E-2</v>
      </c>
      <c r="S107"/>
    </row>
    <row r="108" spans="1:21" x14ac:dyDescent="0.2">
      <c r="A108" s="97">
        <f>Purchases!A167</f>
        <v>43739</v>
      </c>
      <c r="B108" s="118">
        <f t="shared" si="6"/>
        <v>2019</v>
      </c>
      <c r="C108" s="118">
        <f t="shared" si="8"/>
        <v>10</v>
      </c>
      <c r="D108" s="186">
        <f>Data!D107</f>
        <v>17608300</v>
      </c>
      <c r="E108" s="186">
        <f>Data!E107</f>
        <v>5117054.9380399995</v>
      </c>
      <c r="F108" s="185">
        <f ca="1">Data!F107</f>
        <v>913028.04049535922</v>
      </c>
      <c r="G108" s="185">
        <f t="shared" ca="1" si="9"/>
        <v>18521328.040495358</v>
      </c>
      <c r="H108" s="196">
        <f>Data!U107</f>
        <v>204.10000000000002</v>
      </c>
      <c r="I108" s="187">
        <f>Data!X107</f>
        <v>13.3</v>
      </c>
      <c r="J108" s="187">
        <f>Data!AG107</f>
        <v>31</v>
      </c>
      <c r="K108" s="187">
        <f>Data!AU107</f>
        <v>0</v>
      </c>
      <c r="L108" s="188">
        <f>Data!M107</f>
        <v>167.91500484133275</v>
      </c>
      <c r="M108" s="187">
        <f>Data!AX107</f>
        <v>106</v>
      </c>
      <c r="N108" s="189">
        <f>Data!K107</f>
        <v>12214.166666666661</v>
      </c>
      <c r="O108" s="191"/>
      <c r="P108" s="190">
        <f t="shared" si="10"/>
        <v>18894882.775701974</v>
      </c>
      <c r="Q108" s="92">
        <f t="shared" ca="1" si="11"/>
        <v>373554.73520661518</v>
      </c>
      <c r="R108" s="93">
        <f t="shared" ca="1" si="7"/>
        <v>2.1214696206142285E-2</v>
      </c>
      <c r="S108"/>
    </row>
    <row r="109" spans="1:21" x14ac:dyDescent="0.2">
      <c r="A109" s="97">
        <f>Purchases!A168</f>
        <v>43770</v>
      </c>
      <c r="B109" s="118">
        <f t="shared" si="6"/>
        <v>2019</v>
      </c>
      <c r="C109" s="118">
        <f t="shared" si="8"/>
        <v>11</v>
      </c>
      <c r="D109" s="186">
        <f>Data!D108</f>
        <v>19781220</v>
      </c>
      <c r="E109" s="186">
        <f>Data!E108</f>
        <v>4459105.9743999988</v>
      </c>
      <c r="F109" s="185">
        <f ca="1">Data!F108</f>
        <v>914832.01894927805</v>
      </c>
      <c r="G109" s="185">
        <f t="shared" ca="1" si="9"/>
        <v>20696052.018949278</v>
      </c>
      <c r="H109" s="196">
        <f>Data!U108</f>
        <v>495.19999999999993</v>
      </c>
      <c r="I109" s="187">
        <f>Data!X108</f>
        <v>0</v>
      </c>
      <c r="J109" s="187">
        <f>Data!AG108</f>
        <v>30</v>
      </c>
      <c r="K109" s="187">
        <f>Data!AU108</f>
        <v>0</v>
      </c>
      <c r="L109" s="188">
        <f>Data!M108</f>
        <v>168.19978106012297</v>
      </c>
      <c r="M109" s="187">
        <f>Data!AX108</f>
        <v>107</v>
      </c>
      <c r="N109" s="189">
        <f>Data!K108</f>
        <v>12230.083333333327</v>
      </c>
      <c r="O109" s="191"/>
      <c r="P109" s="190">
        <f t="shared" si="10"/>
        <v>21019835.621803354</v>
      </c>
      <c r="Q109" s="92">
        <f t="shared" ca="1" si="11"/>
        <v>323783.60285407677</v>
      </c>
      <c r="R109" s="93">
        <f t="shared" ca="1" si="7"/>
        <v>1.6368232235123858E-2</v>
      </c>
      <c r="S109"/>
    </row>
    <row r="110" spans="1:21" x14ac:dyDescent="0.2">
      <c r="A110" s="97">
        <f>Purchases!A169</f>
        <v>43800</v>
      </c>
      <c r="B110" s="118">
        <f t="shared" si="6"/>
        <v>2019</v>
      </c>
      <c r="C110" s="118">
        <f t="shared" si="8"/>
        <v>12</v>
      </c>
      <c r="D110" s="186">
        <f>Data!D109</f>
        <v>21302160</v>
      </c>
      <c r="E110" s="186">
        <f>Data!E109</f>
        <v>5345813.8230799995</v>
      </c>
      <c r="F110" s="185">
        <f ca="1">Data!F109</f>
        <v>916635.99740319699</v>
      </c>
      <c r="G110" s="185">
        <f t="shared" ca="1" si="9"/>
        <v>22218795.997403197</v>
      </c>
      <c r="H110" s="196">
        <f>Data!U109</f>
        <v>527.90000000000009</v>
      </c>
      <c r="I110" s="187">
        <f>Data!X109</f>
        <v>0</v>
      </c>
      <c r="J110" s="187">
        <f>Data!AG109</f>
        <v>31</v>
      </c>
      <c r="K110" s="187">
        <f>Data!AU109</f>
        <v>0</v>
      </c>
      <c r="L110" s="188">
        <f>Data!M109</f>
        <v>168.4845572789132</v>
      </c>
      <c r="M110" s="187">
        <f>Data!AX109</f>
        <v>108</v>
      </c>
      <c r="N110" s="189">
        <f>Data!K109</f>
        <v>12173</v>
      </c>
      <c r="O110" s="191"/>
      <c r="P110" s="190">
        <f t="shared" si="10"/>
        <v>21868771.361059591</v>
      </c>
      <c r="Q110" s="92">
        <f t="shared" ca="1" si="11"/>
        <v>-350024.63634360582</v>
      </c>
      <c r="R110" s="93">
        <f t="shared" ca="1" si="7"/>
        <v>1.6431415234117376E-2</v>
      </c>
      <c r="S110"/>
    </row>
    <row r="111" spans="1:21" x14ac:dyDescent="0.2">
      <c r="A111" s="97">
        <f>Purchases!A170</f>
        <v>43831</v>
      </c>
      <c r="B111" s="118">
        <f t="shared" si="6"/>
        <v>2020</v>
      </c>
      <c r="C111" s="118">
        <f t="shared" si="8"/>
        <v>1</v>
      </c>
      <c r="D111" s="186">
        <f>Data!D110</f>
        <v>21866419.999999996</v>
      </c>
      <c r="E111" s="186">
        <f>Data!E110</f>
        <v>5957914.3985799998</v>
      </c>
      <c r="F111" s="185">
        <f ca="1">Data!F110</f>
        <v>917901.90536950564</v>
      </c>
      <c r="G111" s="185">
        <f t="shared" ca="1" si="9"/>
        <v>22784321.905369502</v>
      </c>
      <c r="H111" s="196">
        <f>Data!U110</f>
        <v>561.20000000000016</v>
      </c>
      <c r="I111" s="187">
        <f>Data!X110</f>
        <v>0</v>
      </c>
      <c r="J111" s="187">
        <f>Data!AG110</f>
        <v>31</v>
      </c>
      <c r="K111" s="187">
        <f>Data!AU110</f>
        <v>0</v>
      </c>
      <c r="L111" s="188">
        <f>Data!M110</f>
        <v>167.77951400666052</v>
      </c>
      <c r="M111" s="187">
        <f>Data!AX110</f>
        <v>109</v>
      </c>
      <c r="N111" s="189">
        <f>Data!K110</f>
        <v>12181.791304500977</v>
      </c>
      <c r="O111" s="191"/>
      <c r="P111" s="190">
        <f t="shared" si="10"/>
        <v>22217386.465287618</v>
      </c>
      <c r="Q111" s="92">
        <f t="shared" ca="1" si="11"/>
        <v>-566935.44008188322</v>
      </c>
      <c r="R111" s="93">
        <f t="shared" ca="1" si="7"/>
        <v>2.5927218085168187E-2</v>
      </c>
      <c r="S111"/>
    </row>
    <row r="112" spans="1:21" x14ac:dyDescent="0.2">
      <c r="A112" s="97">
        <f>Purchases!A171</f>
        <v>43862</v>
      </c>
      <c r="B112" s="118">
        <f t="shared" si="6"/>
        <v>2020</v>
      </c>
      <c r="C112" s="118">
        <f t="shared" si="8"/>
        <v>2</v>
      </c>
      <c r="D112" s="186">
        <f>Data!D111</f>
        <v>20225660</v>
      </c>
      <c r="E112" s="186">
        <f>Data!E111</f>
        <v>5929405.9422800001</v>
      </c>
      <c r="F112" s="185">
        <f ca="1">Data!F111</f>
        <v>916389.01300639787</v>
      </c>
      <c r="G112" s="185">
        <f t="shared" ca="1" si="9"/>
        <v>21142049.013006397</v>
      </c>
      <c r="H112" s="196">
        <f>Data!U111</f>
        <v>569.29999999999984</v>
      </c>
      <c r="I112" s="187">
        <f>Data!X111</f>
        <v>0</v>
      </c>
      <c r="J112" s="187">
        <f>Data!AG111</f>
        <v>29</v>
      </c>
      <c r="K112" s="187">
        <f>Data!AU111</f>
        <v>0</v>
      </c>
      <c r="L112" s="188">
        <f>Data!M111</f>
        <v>167.07447073440784</v>
      </c>
      <c r="M112" s="187">
        <f>Data!AX111</f>
        <v>110</v>
      </c>
      <c r="N112" s="189">
        <f>Data!K111</f>
        <v>12190.582609001955</v>
      </c>
      <c r="O112" s="191"/>
      <c r="P112" s="190">
        <f t="shared" si="10"/>
        <v>21325183.494625151</v>
      </c>
      <c r="Q112" s="92">
        <f t="shared" ca="1" si="11"/>
        <v>183134.48161875457</v>
      </c>
      <c r="R112" s="93">
        <f t="shared" ca="1" si="7"/>
        <v>9.0545614639400921E-3</v>
      </c>
      <c r="S112"/>
      <c r="T112" s="46"/>
      <c r="U112" s="46"/>
    </row>
    <row r="113" spans="1:21" x14ac:dyDescent="0.2">
      <c r="A113" s="97">
        <f>Purchases!A172</f>
        <v>43891</v>
      </c>
      <c r="B113" s="118">
        <f t="shared" si="6"/>
        <v>2020</v>
      </c>
      <c r="C113" s="118">
        <f t="shared" si="8"/>
        <v>3</v>
      </c>
      <c r="D113" s="186">
        <f>Data!D112</f>
        <v>19574300</v>
      </c>
      <c r="E113" s="186">
        <f>Data!E112</f>
        <v>5454114.7809799993</v>
      </c>
      <c r="F113" s="185">
        <f ca="1">Data!F112</f>
        <v>914876.12064328999</v>
      </c>
      <c r="G113" s="185">
        <f t="shared" ca="1" si="9"/>
        <v>20489176.120643292</v>
      </c>
      <c r="H113" s="196">
        <f>Data!U112</f>
        <v>422.2</v>
      </c>
      <c r="I113" s="187">
        <f>Data!X112</f>
        <v>0</v>
      </c>
      <c r="J113" s="187">
        <f>Data!AG112</f>
        <v>31</v>
      </c>
      <c r="K113" s="187">
        <f>Data!AU112</f>
        <v>1</v>
      </c>
      <c r="L113" s="188">
        <f>Data!M112</f>
        <v>166.36942746215516</v>
      </c>
      <c r="M113" s="187">
        <f>Data!AX112</f>
        <v>111</v>
      </c>
      <c r="N113" s="189">
        <f>Data!K112</f>
        <v>12199.373913502932</v>
      </c>
      <c r="O113" s="191"/>
      <c r="P113" s="190">
        <f t="shared" si="10"/>
        <v>20036729.650801968</v>
      </c>
      <c r="Q113" s="92">
        <f t="shared" ca="1" si="11"/>
        <v>-452446.46984132379</v>
      </c>
      <c r="R113" s="93">
        <f t="shared" ca="1" si="7"/>
        <v>2.3114311614786928E-2</v>
      </c>
      <c r="S113"/>
    </row>
    <row r="114" spans="1:21" x14ac:dyDescent="0.2">
      <c r="A114" s="97">
        <f>Purchases!A173</f>
        <v>43922</v>
      </c>
      <c r="B114" s="118">
        <f t="shared" si="6"/>
        <v>2020</v>
      </c>
      <c r="C114" s="118">
        <f t="shared" si="8"/>
        <v>4</v>
      </c>
      <c r="D114" s="186">
        <f>Data!D113</f>
        <v>16976080</v>
      </c>
      <c r="E114" s="186">
        <f>Data!E113</f>
        <v>5165860.59626</v>
      </c>
      <c r="F114" s="185">
        <f ca="1">Data!F113</f>
        <v>913363.22828018223</v>
      </c>
      <c r="G114" s="185">
        <f t="shared" ca="1" si="9"/>
        <v>17889443.228280183</v>
      </c>
      <c r="H114" s="196">
        <f>Data!U113</f>
        <v>336.5</v>
      </c>
      <c r="I114" s="187">
        <f>Data!X113</f>
        <v>0</v>
      </c>
      <c r="J114" s="187">
        <f>Data!AG113</f>
        <v>30</v>
      </c>
      <c r="K114" s="187">
        <f>Data!AU113</f>
        <v>1</v>
      </c>
      <c r="L114" s="188">
        <f>Data!M113</f>
        <v>165.66438418990248</v>
      </c>
      <c r="M114" s="187">
        <f>Data!AX113</f>
        <v>112</v>
      </c>
      <c r="N114" s="189">
        <f>Data!K113</f>
        <v>12208.165218003909</v>
      </c>
      <c r="O114" s="191"/>
      <c r="P114" s="190">
        <f t="shared" si="10"/>
        <v>18593636.509081513</v>
      </c>
      <c r="Q114" s="92">
        <f ca="1">P114-G114</f>
        <v>704193.28080132976</v>
      </c>
      <c r="R114" s="93">
        <f t="shared" ca="1" si="7"/>
        <v>4.1481501076887584E-2</v>
      </c>
      <c r="S114"/>
    </row>
    <row r="115" spans="1:21" x14ac:dyDescent="0.2">
      <c r="A115" s="97">
        <f>Purchases!A174</f>
        <v>43952</v>
      </c>
      <c r="B115" s="118">
        <f t="shared" si="6"/>
        <v>2020</v>
      </c>
      <c r="C115" s="118">
        <f t="shared" si="8"/>
        <v>5</v>
      </c>
      <c r="D115" s="186">
        <f>Data!D114</f>
        <v>17713720</v>
      </c>
      <c r="E115" s="186">
        <f>Data!E114</f>
        <v>4799083.8038800005</v>
      </c>
      <c r="F115" s="185">
        <f ca="1">Data!F114</f>
        <v>911850.33591707447</v>
      </c>
      <c r="G115" s="185">
        <f t="shared" ca="1" si="9"/>
        <v>18625570.335917074</v>
      </c>
      <c r="H115" s="196">
        <f>Data!U114</f>
        <v>160.50000000000003</v>
      </c>
      <c r="I115" s="187">
        <f>Data!X114</f>
        <v>43.2</v>
      </c>
      <c r="J115" s="187">
        <f>Data!AG114</f>
        <v>31</v>
      </c>
      <c r="K115" s="187">
        <f>Data!AU114</f>
        <v>1</v>
      </c>
      <c r="L115" s="188">
        <f>Data!M114</f>
        <v>164.9593409176498</v>
      </c>
      <c r="M115" s="187">
        <f>Data!AX114</f>
        <v>113</v>
      </c>
      <c r="N115" s="189">
        <f>Data!K114</f>
        <v>12216.956522504886</v>
      </c>
      <c r="O115" s="191"/>
      <c r="P115" s="190">
        <f t="shared" si="10"/>
        <v>19085522.94352005</v>
      </c>
      <c r="Q115" s="92">
        <f t="shared" ca="1" si="11"/>
        <v>459952.60760297626</v>
      </c>
      <c r="R115" s="93">
        <f t="shared" ca="1" si="7"/>
        <v>2.5965895791678781E-2</v>
      </c>
      <c r="S115"/>
    </row>
    <row r="116" spans="1:21" x14ac:dyDescent="0.2">
      <c r="A116" s="97">
        <f>Purchases!A175</f>
        <v>43983</v>
      </c>
      <c r="B116" s="118">
        <f t="shared" si="6"/>
        <v>2020</v>
      </c>
      <c r="C116" s="118">
        <f t="shared" si="8"/>
        <v>6</v>
      </c>
      <c r="D116" s="186">
        <f>Data!D115</f>
        <v>22065520</v>
      </c>
      <c r="E116" s="186">
        <f>Data!E115</f>
        <v>4820394.2487199996</v>
      </c>
      <c r="F116" s="185">
        <f ca="1">Data!F115</f>
        <v>910337.4435539667</v>
      </c>
      <c r="G116" s="185">
        <f t="shared" ca="1" si="9"/>
        <v>22975857.443553966</v>
      </c>
      <c r="H116" s="196">
        <f>Data!U115</f>
        <v>10.799999999999999</v>
      </c>
      <c r="I116" s="187">
        <f>Data!X115</f>
        <v>164.9</v>
      </c>
      <c r="J116" s="187">
        <f>Data!AG115</f>
        <v>30</v>
      </c>
      <c r="K116" s="187">
        <f>Data!AU115</f>
        <v>0</v>
      </c>
      <c r="L116" s="188">
        <f>Data!M115</f>
        <v>164.25429764539712</v>
      </c>
      <c r="M116" s="187">
        <f>Data!AX115</f>
        <v>114</v>
      </c>
      <c r="N116" s="189">
        <f>Data!K115</f>
        <v>12225.747827005864</v>
      </c>
      <c r="O116" s="191"/>
      <c r="P116" s="190">
        <f t="shared" si="10"/>
        <v>23089894.347613439</v>
      </c>
      <c r="Q116" s="92">
        <f t="shared" ca="1" si="11"/>
        <v>114036.90405947343</v>
      </c>
      <c r="R116" s="93">
        <f t="shared" ca="1" si="7"/>
        <v>5.1681040854452296E-3</v>
      </c>
      <c r="S116"/>
    </row>
    <row r="117" spans="1:21" x14ac:dyDescent="0.2">
      <c r="A117" s="97">
        <f>Purchases!A176</f>
        <v>44013</v>
      </c>
      <c r="B117" s="118">
        <f t="shared" si="6"/>
        <v>2020</v>
      </c>
      <c r="C117" s="118">
        <f t="shared" si="8"/>
        <v>7</v>
      </c>
      <c r="D117" s="186">
        <f>Data!D116</f>
        <v>28192460</v>
      </c>
      <c r="E117" s="186">
        <f>Data!E116</f>
        <v>5894883.4938199995</v>
      </c>
      <c r="F117" s="185">
        <f ca="1">Data!F116</f>
        <v>908824.55119085894</v>
      </c>
      <c r="G117" s="185">
        <f t="shared" ca="1" si="9"/>
        <v>29101284.551190861</v>
      </c>
      <c r="H117" s="196">
        <f>Data!U116</f>
        <v>0</v>
      </c>
      <c r="I117" s="187">
        <f>Data!X116</f>
        <v>267.70000000000005</v>
      </c>
      <c r="J117" s="187">
        <f>Data!AG116</f>
        <v>31</v>
      </c>
      <c r="K117" s="187">
        <f>Data!AU116</f>
        <v>0</v>
      </c>
      <c r="L117" s="188">
        <f>Data!M116</f>
        <v>163.54925437314444</v>
      </c>
      <c r="M117" s="187">
        <f>Data!AX116</f>
        <v>115</v>
      </c>
      <c r="N117" s="189">
        <f>Data!K116</f>
        <v>12234.539131506841</v>
      </c>
      <c r="O117" s="191"/>
      <c r="P117" s="190">
        <f t="shared" si="10"/>
        <v>28112228.817390155</v>
      </c>
      <c r="Q117" s="92">
        <f ca="1">P117-G117</f>
        <v>-989055.73380070552</v>
      </c>
      <c r="R117" s="93">
        <f t="shared" ca="1" si="7"/>
        <v>3.5082278517046955E-2</v>
      </c>
      <c r="S117"/>
    </row>
    <row r="118" spans="1:21" x14ac:dyDescent="0.2">
      <c r="A118" s="97">
        <f>Purchases!A177</f>
        <v>44044</v>
      </c>
      <c r="B118" s="118">
        <f t="shared" si="6"/>
        <v>2020</v>
      </c>
      <c r="C118" s="118">
        <f t="shared" si="8"/>
        <v>8</v>
      </c>
      <c r="D118" s="186">
        <f>Data!D117</f>
        <v>24252200</v>
      </c>
      <c r="E118" s="186">
        <f>Data!E117</f>
        <v>7735321.2992799999</v>
      </c>
      <c r="F118" s="185">
        <f ca="1">Data!F117</f>
        <v>907311.65882775106</v>
      </c>
      <c r="G118" s="185">
        <f t="shared" ca="1" si="9"/>
        <v>25159511.658827752</v>
      </c>
      <c r="H118" s="196">
        <f>Data!U117</f>
        <v>0</v>
      </c>
      <c r="I118" s="187">
        <f>Data!X117</f>
        <v>186.59999999999997</v>
      </c>
      <c r="J118" s="187">
        <f>Data!AG117</f>
        <v>31</v>
      </c>
      <c r="K118" s="187">
        <f>Data!AU117</f>
        <v>0</v>
      </c>
      <c r="L118" s="188">
        <f>Data!M117</f>
        <v>162.84421110089175</v>
      </c>
      <c r="M118" s="187">
        <f>Data!AX117</f>
        <v>116</v>
      </c>
      <c r="N118" s="189">
        <f>Data!K117</f>
        <v>12243.330436007818</v>
      </c>
      <c r="O118" s="191"/>
      <c r="P118" s="190">
        <f t="shared" si="10"/>
        <v>24404141.879772995</v>
      </c>
      <c r="Q118" s="92">
        <f t="shared" ca="1" si="11"/>
        <v>-755369.77905475721</v>
      </c>
      <c r="R118" s="93">
        <f t="shared" ca="1" si="7"/>
        <v>3.1146443582634038E-2</v>
      </c>
      <c r="S118"/>
    </row>
    <row r="119" spans="1:21" x14ac:dyDescent="0.2">
      <c r="A119" s="97">
        <f>Purchases!A178</f>
        <v>44075</v>
      </c>
      <c r="B119" s="118">
        <f t="shared" si="6"/>
        <v>2020</v>
      </c>
      <c r="C119" s="118">
        <f t="shared" si="8"/>
        <v>9</v>
      </c>
      <c r="D119" s="186">
        <f>Data!D118</f>
        <v>18691553.740000002</v>
      </c>
      <c r="E119" s="186">
        <f>Data!E118</f>
        <v>6564005.04648</v>
      </c>
      <c r="F119" s="185">
        <f ca="1">Data!F118</f>
        <v>905798.7664646433</v>
      </c>
      <c r="G119" s="185">
        <f t="shared" ca="1" si="9"/>
        <v>19597352.506464645</v>
      </c>
      <c r="H119" s="196">
        <f>Data!U118</f>
        <v>62</v>
      </c>
      <c r="I119" s="187">
        <f>Data!X118</f>
        <v>57.9</v>
      </c>
      <c r="J119" s="187">
        <f>Data!AG118</f>
        <v>30</v>
      </c>
      <c r="K119" s="187">
        <f>Data!AU118</f>
        <v>0</v>
      </c>
      <c r="L119" s="188">
        <f>Data!M118</f>
        <v>162.13916782863907</v>
      </c>
      <c r="M119" s="187">
        <f>Data!AX118</f>
        <v>117</v>
      </c>
      <c r="N119" s="189">
        <f>Data!K118</f>
        <v>12252.121740508795</v>
      </c>
      <c r="O119" s="191"/>
      <c r="P119" s="190">
        <f t="shared" si="10"/>
        <v>18731034.917810604</v>
      </c>
      <c r="Q119" s="92">
        <f t="shared" ca="1" si="11"/>
        <v>-866317.58865404129</v>
      </c>
      <c r="R119" s="93">
        <f t="shared" ca="1" si="7"/>
        <v>4.6348077891465923E-2</v>
      </c>
      <c r="S119"/>
    </row>
    <row r="120" spans="1:21" x14ac:dyDescent="0.2">
      <c r="A120" s="97">
        <f>Purchases!A179</f>
        <v>44105</v>
      </c>
      <c r="B120" s="118">
        <f t="shared" si="6"/>
        <v>2020</v>
      </c>
      <c r="C120" s="118">
        <f t="shared" si="8"/>
        <v>10</v>
      </c>
      <c r="D120" s="186">
        <f>Data!D119</f>
        <v>17010864.789999999</v>
      </c>
      <c r="E120" s="186">
        <f>Data!E119</f>
        <v>4055885.1912000002</v>
      </c>
      <c r="F120" s="185">
        <f ca="1">Data!F119</f>
        <v>904285.87410153553</v>
      </c>
      <c r="G120" s="185">
        <f t="shared" ca="1" si="9"/>
        <v>17915150.664101534</v>
      </c>
      <c r="H120" s="196">
        <f>Data!U119</f>
        <v>239.7</v>
      </c>
      <c r="I120" s="187">
        <f>Data!X119</f>
        <v>4.9000000000000021</v>
      </c>
      <c r="J120" s="187">
        <f>Data!AG119</f>
        <v>31</v>
      </c>
      <c r="K120" s="187">
        <f>Data!AU119</f>
        <v>0</v>
      </c>
      <c r="L120" s="188">
        <f>Data!M119</f>
        <v>161.43412455638639</v>
      </c>
      <c r="M120" s="187">
        <f>Data!AX119</f>
        <v>118</v>
      </c>
      <c r="N120" s="189">
        <f>Data!K119</f>
        <v>12260.913045009773</v>
      </c>
      <c r="O120" s="191"/>
      <c r="P120" s="190">
        <f t="shared" si="10"/>
        <v>18739426.779696204</v>
      </c>
      <c r="Q120" s="92">
        <f ca="1">P120-G120</f>
        <v>824276.11559467018</v>
      </c>
      <c r="R120" s="93">
        <f t="shared" ca="1" si="7"/>
        <v>4.8455861931206982E-2</v>
      </c>
      <c r="S120"/>
    </row>
    <row r="121" spans="1:21" x14ac:dyDescent="0.2">
      <c r="A121" s="97">
        <f>Purchases!A180</f>
        <v>44136</v>
      </c>
      <c r="B121" s="118">
        <f t="shared" si="6"/>
        <v>2020</v>
      </c>
      <c r="C121" s="118">
        <f t="shared" si="8"/>
        <v>11</v>
      </c>
      <c r="D121" s="186">
        <f>Data!D120</f>
        <v>18253434</v>
      </c>
      <c r="E121" s="186">
        <f>Data!E120</f>
        <v>3115295.0272399997</v>
      </c>
      <c r="F121" s="185">
        <f ca="1">Data!F120</f>
        <v>902772.98173842777</v>
      </c>
      <c r="G121" s="185">
        <f t="shared" ca="1" si="9"/>
        <v>19156206.98173843</v>
      </c>
      <c r="H121" s="196">
        <f>Data!U120</f>
        <v>329.50000000000006</v>
      </c>
      <c r="I121" s="187">
        <f>Data!X120</f>
        <v>3.3999999999999986</v>
      </c>
      <c r="J121" s="187">
        <f>Data!AG120</f>
        <v>30</v>
      </c>
      <c r="K121" s="187">
        <f>Data!AU120</f>
        <v>0</v>
      </c>
      <c r="L121" s="188">
        <f>Data!M120</f>
        <v>160.72908128413371</v>
      </c>
      <c r="M121" s="187">
        <f>Data!AX120</f>
        <v>119</v>
      </c>
      <c r="N121" s="189">
        <f>Data!K120</f>
        <v>12269.70434951075</v>
      </c>
      <c r="O121" s="191"/>
      <c r="P121" s="190">
        <f t="shared" si="10"/>
        <v>19160065.518830776</v>
      </c>
      <c r="Q121" s="92">
        <f t="shared" ca="1" si="11"/>
        <v>3858.537092346698</v>
      </c>
      <c r="R121" s="93">
        <f t="shared" ca="1" si="7"/>
        <v>2.1138691450313941E-4</v>
      </c>
      <c r="S121"/>
    </row>
    <row r="122" spans="1:21" x14ac:dyDescent="0.2">
      <c r="A122" s="97">
        <f>Purchases!A181</f>
        <v>44166</v>
      </c>
      <c r="B122" s="118">
        <f t="shared" si="6"/>
        <v>2020</v>
      </c>
      <c r="C122" s="118">
        <f t="shared" si="8"/>
        <v>12</v>
      </c>
      <c r="D122" s="186">
        <f>Data!D121</f>
        <v>20812463</v>
      </c>
      <c r="E122" s="186">
        <f>Data!E121</f>
        <v>3241021.68352</v>
      </c>
      <c r="F122" s="185">
        <f ca="1">Data!F121</f>
        <v>901260.08937532001</v>
      </c>
      <c r="G122" s="185">
        <f t="shared" ca="1" si="9"/>
        <v>21713723.089375321</v>
      </c>
      <c r="H122" s="196">
        <f>Data!U121</f>
        <v>547.4</v>
      </c>
      <c r="I122" s="187">
        <f>Data!X121</f>
        <v>0</v>
      </c>
      <c r="J122" s="187">
        <f>Data!AG121</f>
        <v>31</v>
      </c>
      <c r="K122" s="187">
        <f>Data!AU121</f>
        <v>0</v>
      </c>
      <c r="L122" s="188">
        <f>Data!M121</f>
        <v>160.02403801188103</v>
      </c>
      <c r="M122" s="187">
        <f>Data!AX121</f>
        <v>120</v>
      </c>
      <c r="N122" s="189">
        <f>Data!K121</f>
        <v>12364</v>
      </c>
      <c r="O122" s="191"/>
      <c r="P122" s="190">
        <f t="shared" si="10"/>
        <v>21867840.307735056</v>
      </c>
      <c r="Q122" s="92">
        <f t="shared" ca="1" si="11"/>
        <v>154117.21835973486</v>
      </c>
      <c r="R122" s="93">
        <f t="shared" ca="1" si="7"/>
        <v>7.4050446773039243E-3</v>
      </c>
      <c r="S122"/>
    </row>
    <row r="123" spans="1:21" x14ac:dyDescent="0.2">
      <c r="A123" s="97">
        <f>A111+366</f>
        <v>44197</v>
      </c>
      <c r="B123" s="118">
        <f t="shared" si="6"/>
        <v>2021</v>
      </c>
      <c r="C123" s="118">
        <f t="shared" si="8"/>
        <v>1</v>
      </c>
      <c r="D123" s="115"/>
      <c r="E123" s="115">
        <f>Purchases!E182</f>
        <v>0</v>
      </c>
      <c r="F123" s="199">
        <f ca="1">CDM!D138</f>
        <v>907929.04130623909</v>
      </c>
      <c r="G123" s="185"/>
      <c r="H123" s="197">
        <f ca="1">Weather!AL61</f>
        <v>671.55</v>
      </c>
      <c r="I123" s="197">
        <f ca="1">Weather!BA61</f>
        <v>0</v>
      </c>
      <c r="J123" s="96">
        <f>J75</f>
        <v>31</v>
      </c>
      <c r="K123" s="187">
        <f>K111</f>
        <v>0</v>
      </c>
      <c r="L123" s="188">
        <f>Economic!E122</f>
        <v>167.88630449779569</v>
      </c>
      <c r="M123" s="187">
        <f>M122+1</f>
        <v>121</v>
      </c>
      <c r="N123" s="189">
        <f>'Rate Class Customer Model'!W122</f>
        <v>12372.791304500977</v>
      </c>
      <c r="O123" s="191"/>
      <c r="P123" s="190">
        <f t="shared" ca="1" si="10"/>
        <v>23434890.353204276</v>
      </c>
      <c r="Q123" s="69"/>
      <c r="R123" s="12">
        <f ca="1">AVERAGE(R3:R122)</f>
        <v>2.6998463402264663E-2</v>
      </c>
      <c r="S123"/>
    </row>
    <row r="124" spans="1:21" x14ac:dyDescent="0.2">
      <c r="A124" s="97">
        <f t="shared" ref="A124:A146" si="12">A112+366</f>
        <v>44228</v>
      </c>
      <c r="B124" s="118">
        <f t="shared" si="6"/>
        <v>2021</v>
      </c>
      <c r="C124" s="118">
        <f t="shared" si="8"/>
        <v>2</v>
      </c>
      <c r="D124" s="99"/>
      <c r="E124" s="115">
        <f>Purchases!E183</f>
        <v>0</v>
      </c>
      <c r="F124" s="199">
        <f ca="1">CDM!D139</f>
        <v>906277.08524006547</v>
      </c>
      <c r="G124" s="185"/>
      <c r="H124" s="197">
        <f ca="1">Weather!AL62</f>
        <v>591.43000000000006</v>
      </c>
      <c r="I124" s="197">
        <f ca="1">Weather!BA62</f>
        <v>0</v>
      </c>
      <c r="J124" s="96">
        <f t="shared" ref="J124:J146" si="13">J76</f>
        <v>28</v>
      </c>
      <c r="K124" s="187">
        <f t="shared" ref="K124:K146" si="14">K112</f>
        <v>0</v>
      </c>
      <c r="L124" s="188">
        <f>Economic!E123</f>
        <v>168.50997182540399</v>
      </c>
      <c r="M124" s="187">
        <f t="shared" ref="M124:M146" si="15">M123+1</f>
        <v>122</v>
      </c>
      <c r="N124" s="189">
        <f>'Rate Class Customer Model'!W123</f>
        <v>12381.582609001955</v>
      </c>
      <c r="O124" s="191"/>
      <c r="P124" s="190">
        <f t="shared" ca="1" si="10"/>
        <v>21123678.237796377</v>
      </c>
      <c r="Q124" s="69"/>
      <c r="R124" s="69"/>
      <c r="S124"/>
      <c r="T124" s="46"/>
      <c r="U124" s="46"/>
    </row>
    <row r="125" spans="1:21" x14ac:dyDescent="0.2">
      <c r="A125" s="97">
        <f t="shared" si="12"/>
        <v>44257</v>
      </c>
      <c r="B125" s="118">
        <f t="shared" si="6"/>
        <v>2021</v>
      </c>
      <c r="C125" s="118">
        <f t="shared" si="8"/>
        <v>3</v>
      </c>
      <c r="D125" s="99"/>
      <c r="E125" s="115">
        <f>Purchases!E184</f>
        <v>0</v>
      </c>
      <c r="F125" s="199">
        <f ca="1">CDM!D140</f>
        <v>904625.12917389174</v>
      </c>
      <c r="G125" s="185"/>
      <c r="H125" s="197">
        <f ca="1">Weather!AL63</f>
        <v>493.21999999999997</v>
      </c>
      <c r="I125" s="197">
        <f ca="1">Weather!BA63</f>
        <v>1.5699999999999998</v>
      </c>
      <c r="J125" s="96">
        <f t="shared" si="13"/>
        <v>31</v>
      </c>
      <c r="K125" s="187">
        <f t="shared" si="14"/>
        <v>1</v>
      </c>
      <c r="L125" s="188">
        <f>Economic!E124</f>
        <v>169.13595596459911</v>
      </c>
      <c r="M125" s="187">
        <f t="shared" si="15"/>
        <v>123</v>
      </c>
      <c r="N125" s="189">
        <f>'Rate Class Customer Model'!W124</f>
        <v>12390.373913502932</v>
      </c>
      <c r="O125" s="191"/>
      <c r="P125" s="190">
        <f t="shared" ca="1" si="10"/>
        <v>20960484.504165076</v>
      </c>
      <c r="Q125" s="69"/>
      <c r="R125" s="69"/>
      <c r="S125"/>
    </row>
    <row r="126" spans="1:21" x14ac:dyDescent="0.2">
      <c r="A126" s="97">
        <f t="shared" si="12"/>
        <v>44288</v>
      </c>
      <c r="B126" s="118">
        <f t="shared" si="6"/>
        <v>2021</v>
      </c>
      <c r="C126" s="118">
        <f t="shared" si="8"/>
        <v>4</v>
      </c>
      <c r="D126" s="99"/>
      <c r="E126" s="115">
        <f>Purchases!E185</f>
        <v>0</v>
      </c>
      <c r="F126" s="199">
        <f ca="1">CDM!D141</f>
        <v>902973.17310771812</v>
      </c>
      <c r="G126" s="185"/>
      <c r="H126" s="197">
        <f ca="1">Weather!AL64</f>
        <v>298.61</v>
      </c>
      <c r="I126" s="197">
        <f ca="1">Weather!BA64</f>
        <v>1.4</v>
      </c>
      <c r="J126" s="96">
        <f t="shared" si="13"/>
        <v>30</v>
      </c>
      <c r="K126" s="187">
        <f t="shared" si="14"/>
        <v>1</v>
      </c>
      <c r="L126" s="188">
        <f>Economic!E125</f>
        <v>169.76426552191802</v>
      </c>
      <c r="M126" s="187">
        <f t="shared" si="15"/>
        <v>124</v>
      </c>
      <c r="N126" s="189">
        <f>'Rate Class Customer Model'!W125</f>
        <v>12399.165218003909</v>
      </c>
      <c r="O126" s="191"/>
      <c r="P126" s="190">
        <f t="shared" ca="1" si="10"/>
        <v>18344703.062399905</v>
      </c>
      <c r="Q126" s="69"/>
      <c r="R126" s="69"/>
      <c r="S126"/>
    </row>
    <row r="127" spans="1:21" x14ac:dyDescent="0.2">
      <c r="A127" s="97">
        <f t="shared" si="12"/>
        <v>44318</v>
      </c>
      <c r="B127" s="118">
        <f t="shared" si="6"/>
        <v>2021</v>
      </c>
      <c r="C127" s="118">
        <f t="shared" si="8"/>
        <v>5</v>
      </c>
      <c r="D127" s="99"/>
      <c r="E127" s="115">
        <f>Purchases!E186</f>
        <v>0</v>
      </c>
      <c r="F127" s="199">
        <f ca="1">CDM!D142</f>
        <v>901321.2170415445</v>
      </c>
      <c r="G127" s="185"/>
      <c r="H127" s="197">
        <f ca="1">Weather!AL65</f>
        <v>105.4</v>
      </c>
      <c r="I127" s="197">
        <f ca="1">Weather!BA65</f>
        <v>59.319999999999993</v>
      </c>
      <c r="J127" s="96">
        <f t="shared" si="13"/>
        <v>31</v>
      </c>
      <c r="K127" s="187">
        <f t="shared" si="14"/>
        <v>1</v>
      </c>
      <c r="L127" s="188">
        <f>Economic!E126</f>
        <v>170.39490913586945</v>
      </c>
      <c r="M127" s="187">
        <f t="shared" si="15"/>
        <v>125</v>
      </c>
      <c r="N127" s="189">
        <f>'Rate Class Customer Model'!W126</f>
        <v>12407.956522504886</v>
      </c>
      <c r="O127" s="191"/>
      <c r="P127" s="190">
        <f t="shared" ca="1" si="10"/>
        <v>19350943.615573756</v>
      </c>
      <c r="Q127" s="69"/>
      <c r="R127" s="69"/>
      <c r="S127"/>
    </row>
    <row r="128" spans="1:21" x14ac:dyDescent="0.2">
      <c r="A128" s="97">
        <f t="shared" si="12"/>
        <v>44349</v>
      </c>
      <c r="B128" s="118">
        <f t="shared" si="6"/>
        <v>2021</v>
      </c>
      <c r="C128" s="118">
        <f t="shared" si="8"/>
        <v>6</v>
      </c>
      <c r="D128" s="99"/>
      <c r="E128" s="115">
        <f>Purchases!E187</f>
        <v>0</v>
      </c>
      <c r="F128" s="199">
        <f ca="1">CDM!D143</f>
        <v>899669.26097537088</v>
      </c>
      <c r="G128" s="185"/>
      <c r="H128" s="197">
        <f ca="1">Weather!AL66</f>
        <v>12.239999999999998</v>
      </c>
      <c r="I128" s="197">
        <f ca="1">Weather!BA66</f>
        <v>147.38999999999999</v>
      </c>
      <c r="J128" s="96">
        <f t="shared" si="13"/>
        <v>30</v>
      </c>
      <c r="K128" s="187">
        <f t="shared" si="14"/>
        <v>0</v>
      </c>
      <c r="L128" s="188">
        <f>Economic!E127</f>
        <v>171.02789547705265</v>
      </c>
      <c r="M128" s="187">
        <f t="shared" si="15"/>
        <v>126</v>
      </c>
      <c r="N128" s="189">
        <f>'Rate Class Customer Model'!W127</f>
        <v>12416.747827005864</v>
      </c>
      <c r="O128" s="191"/>
      <c r="P128" s="190">
        <f t="shared" ca="1" si="10"/>
        <v>22481635.013656579</v>
      </c>
      <c r="Q128" s="69"/>
      <c r="R128" s="69"/>
      <c r="S128"/>
    </row>
    <row r="129" spans="1:19" x14ac:dyDescent="0.2">
      <c r="A129" s="97">
        <f t="shared" si="12"/>
        <v>44379</v>
      </c>
      <c r="B129" s="118">
        <f t="shared" si="6"/>
        <v>2021</v>
      </c>
      <c r="C129" s="118">
        <f t="shared" si="8"/>
        <v>7</v>
      </c>
      <c r="D129" s="99"/>
      <c r="E129" s="115">
        <f>Purchases!E188</f>
        <v>0</v>
      </c>
      <c r="F129" s="199">
        <f ca="1">CDM!D144</f>
        <v>898017.30490919715</v>
      </c>
      <c r="G129" s="185"/>
      <c r="H129" s="197">
        <f ca="1">Weather!AL67</f>
        <v>1.0100000000000002</v>
      </c>
      <c r="I129" s="197">
        <f ca="1">Weather!BA67</f>
        <v>229.98999999999995</v>
      </c>
      <c r="J129" s="96">
        <f t="shared" si="13"/>
        <v>31</v>
      </c>
      <c r="K129" s="187">
        <f t="shared" si="14"/>
        <v>0</v>
      </c>
      <c r="L129" s="188">
        <f>Economic!E128</f>
        <v>171.66323324827655</v>
      </c>
      <c r="M129" s="187">
        <f t="shared" si="15"/>
        <v>127</v>
      </c>
      <c r="N129" s="189">
        <f>'Rate Class Customer Model'!W128</f>
        <v>12425.539131506841</v>
      </c>
      <c r="O129" s="191"/>
      <c r="P129" s="190">
        <f t="shared" ca="1" si="10"/>
        <v>26614274.626594279</v>
      </c>
      <c r="Q129" s="69"/>
      <c r="R129" s="69"/>
      <c r="S129"/>
    </row>
    <row r="130" spans="1:19" x14ac:dyDescent="0.2">
      <c r="A130" s="97">
        <f t="shared" si="12"/>
        <v>44410</v>
      </c>
      <c r="B130" s="118">
        <f t="shared" si="6"/>
        <v>2021</v>
      </c>
      <c r="C130" s="118">
        <f t="shared" si="8"/>
        <v>8</v>
      </c>
      <c r="D130" s="99"/>
      <c r="E130" s="115">
        <f>Purchases!E189</f>
        <v>0</v>
      </c>
      <c r="F130" s="199">
        <f ca="1">CDM!D145</f>
        <v>896365.34884302353</v>
      </c>
      <c r="G130" s="185"/>
      <c r="H130" s="197">
        <f ca="1">Weather!AL68</f>
        <v>2.3899999999999997</v>
      </c>
      <c r="I130" s="197">
        <f ca="1">Weather!BA68</f>
        <v>185.42</v>
      </c>
      <c r="J130" s="96">
        <f t="shared" si="13"/>
        <v>31</v>
      </c>
      <c r="K130" s="187">
        <f t="shared" si="14"/>
        <v>0</v>
      </c>
      <c r="L130" s="188">
        <f>Economic!E129</f>
        <v>172.30093118467946</v>
      </c>
      <c r="M130" s="187">
        <f t="shared" si="15"/>
        <v>128</v>
      </c>
      <c r="N130" s="189">
        <f>'Rate Class Customer Model'!W129</f>
        <v>12434.330436007818</v>
      </c>
      <c r="O130" s="191"/>
      <c r="P130" s="190">
        <f t="shared" ca="1" si="10"/>
        <v>24617742.668729961</v>
      </c>
      <c r="Q130" s="69"/>
      <c r="R130" s="69"/>
      <c r="S130"/>
    </row>
    <row r="131" spans="1:19" x14ac:dyDescent="0.2">
      <c r="A131" s="97">
        <f t="shared" si="12"/>
        <v>44441</v>
      </c>
      <c r="B131" s="118">
        <f t="shared" ref="B131:B146" si="16">YEAR(A131)</f>
        <v>2021</v>
      </c>
      <c r="C131" s="118">
        <f t="shared" si="8"/>
        <v>9</v>
      </c>
      <c r="D131" s="99"/>
      <c r="E131" s="115">
        <f>Purchases!E190</f>
        <v>0</v>
      </c>
      <c r="F131" s="199">
        <f ca="1">CDM!D146</f>
        <v>894713.39277684991</v>
      </c>
      <c r="G131" s="185"/>
      <c r="H131" s="197">
        <f ca="1">Weather!AL69</f>
        <v>45.749999999999993</v>
      </c>
      <c r="I131" s="197">
        <f ca="1">Weather!BA69</f>
        <v>88.07</v>
      </c>
      <c r="J131" s="96">
        <f t="shared" si="13"/>
        <v>30</v>
      </c>
      <c r="K131" s="187">
        <f t="shared" si="14"/>
        <v>0</v>
      </c>
      <c r="L131" s="188">
        <f>Economic!E130</f>
        <v>172.94099805384914</v>
      </c>
      <c r="M131" s="187">
        <f t="shared" si="15"/>
        <v>129</v>
      </c>
      <c r="N131" s="189">
        <f>'Rate Class Customer Model'!W130</f>
        <v>12443.121740508795</v>
      </c>
      <c r="O131" s="191"/>
      <c r="P131" s="190">
        <f t="shared" ca="1" si="10"/>
        <v>20200167.349449724</v>
      </c>
      <c r="Q131" s="69"/>
      <c r="R131" s="69"/>
      <c r="S131"/>
    </row>
    <row r="132" spans="1:19" x14ac:dyDescent="0.2">
      <c r="A132" s="97">
        <f t="shared" si="12"/>
        <v>44471</v>
      </c>
      <c r="B132" s="118">
        <f t="shared" si="16"/>
        <v>2021</v>
      </c>
      <c r="C132" s="118">
        <f t="shared" ref="C132:C146" si="17">MONTH(A132)</f>
        <v>10</v>
      </c>
      <c r="D132" s="99"/>
      <c r="E132" s="115">
        <f>Purchases!E191</f>
        <v>0</v>
      </c>
      <c r="F132" s="199">
        <f ca="1">CDM!D147</f>
        <v>893061.43671067629</v>
      </c>
      <c r="G132" s="185"/>
      <c r="H132" s="197">
        <f ca="1">Weather!AL70</f>
        <v>200.71</v>
      </c>
      <c r="I132" s="197">
        <f ca="1">Weather!BA70</f>
        <v>17.57</v>
      </c>
      <c r="J132" s="96">
        <f t="shared" si="13"/>
        <v>31</v>
      </c>
      <c r="K132" s="187">
        <f t="shared" si="14"/>
        <v>0</v>
      </c>
      <c r="L132" s="188">
        <f>Economic!E131</f>
        <v>173.58344265594337</v>
      </c>
      <c r="M132" s="187">
        <f t="shared" si="15"/>
        <v>130</v>
      </c>
      <c r="N132" s="189">
        <f>'Rate Class Customer Model'!W131</f>
        <v>12451.913045009773</v>
      </c>
      <c r="O132" s="191"/>
      <c r="P132" s="190">
        <f t="shared" ref="P132:P146" ca="1" si="18">$T$17+H132*$T$18+I132*$T$19+J132*$T$20+K132*$T$21+$T$22*L132</f>
        <v>19196299.259416983</v>
      </c>
      <c r="Q132" s="69"/>
      <c r="R132" s="69"/>
      <c r="S132"/>
    </row>
    <row r="133" spans="1:19" x14ac:dyDescent="0.2">
      <c r="A133" s="97">
        <f t="shared" si="12"/>
        <v>44502</v>
      </c>
      <c r="B133" s="118">
        <f t="shared" si="16"/>
        <v>2021</v>
      </c>
      <c r="C133" s="118">
        <f t="shared" si="17"/>
        <v>11</v>
      </c>
      <c r="D133" s="99"/>
      <c r="E133" s="115">
        <f>Purchases!E192</f>
        <v>0</v>
      </c>
      <c r="F133" s="199">
        <f ca="1">CDM!D148</f>
        <v>891409.48064450256</v>
      </c>
      <c r="G133" s="185"/>
      <c r="H133" s="197">
        <f ca="1">Weather!AL71</f>
        <v>400.69</v>
      </c>
      <c r="I133" s="197">
        <f ca="1">Weather!BA71</f>
        <v>0.43999999999999984</v>
      </c>
      <c r="J133" s="96">
        <f t="shared" si="13"/>
        <v>30</v>
      </c>
      <c r="K133" s="187">
        <f t="shared" si="14"/>
        <v>0</v>
      </c>
      <c r="L133" s="188">
        <f>Economic!E132</f>
        <v>174.22827382381092</v>
      </c>
      <c r="M133" s="187">
        <f t="shared" si="15"/>
        <v>131</v>
      </c>
      <c r="N133" s="189">
        <f>'Rate Class Customer Model'!W132</f>
        <v>12460.70434951075</v>
      </c>
      <c r="O133" s="191"/>
      <c r="P133" s="190">
        <f t="shared" ca="1" si="18"/>
        <v>20153068.825291753</v>
      </c>
      <c r="Q133" s="69"/>
      <c r="R133" s="69"/>
      <c r="S133"/>
    </row>
    <row r="134" spans="1:19" x14ac:dyDescent="0.2">
      <c r="A134" s="97">
        <f t="shared" si="12"/>
        <v>44532</v>
      </c>
      <c r="B134" s="118">
        <f t="shared" si="16"/>
        <v>2021</v>
      </c>
      <c r="C134" s="118">
        <f t="shared" si="17"/>
        <v>12</v>
      </c>
      <c r="D134" s="99"/>
      <c r="E134" s="115">
        <f>Purchases!E193</f>
        <v>0</v>
      </c>
      <c r="F134" s="199">
        <f ca="1">CDM!D149</f>
        <v>889757.52457832894</v>
      </c>
      <c r="G134" s="185"/>
      <c r="H134" s="197">
        <f ca="1">Weather!AL72</f>
        <v>549.42000000000007</v>
      </c>
      <c r="I134" s="197">
        <f ca="1">Weather!BA72</f>
        <v>0</v>
      </c>
      <c r="J134" s="96">
        <f t="shared" si="13"/>
        <v>31</v>
      </c>
      <c r="K134" s="187">
        <f t="shared" si="14"/>
        <v>0</v>
      </c>
      <c r="L134" s="188">
        <f>Economic!E133</f>
        <v>174.87550042311301</v>
      </c>
      <c r="M134" s="187">
        <f t="shared" si="15"/>
        <v>132</v>
      </c>
      <c r="N134" s="189">
        <f>'Rate Class Customer Model'!W133</f>
        <v>12469.495654011718</v>
      </c>
      <c r="O134" s="191"/>
      <c r="P134" s="190">
        <f t="shared" ca="1" si="18"/>
        <v>22268530.945567705</v>
      </c>
      <c r="Q134" s="69"/>
      <c r="R134" s="69"/>
      <c r="S134"/>
    </row>
    <row r="135" spans="1:19" x14ac:dyDescent="0.2">
      <c r="A135" s="97">
        <f t="shared" si="12"/>
        <v>44563</v>
      </c>
      <c r="B135" s="118">
        <f t="shared" si="16"/>
        <v>2022</v>
      </c>
      <c r="C135" s="118">
        <f t="shared" si="17"/>
        <v>1</v>
      </c>
      <c r="D135" s="99"/>
      <c r="E135" s="115">
        <f>Purchases!E194</f>
        <v>0</v>
      </c>
      <c r="F135" s="199">
        <f ca="1">CDM!D150</f>
        <v>896633.71830546774</v>
      </c>
      <c r="G135" s="185"/>
      <c r="H135" s="197">
        <f ca="1">H123</f>
        <v>671.55</v>
      </c>
      <c r="I135" s="197">
        <f ca="1">I123</f>
        <v>0</v>
      </c>
      <c r="J135" s="96">
        <f t="shared" si="13"/>
        <v>31</v>
      </c>
      <c r="K135" s="187">
        <f t="shared" si="14"/>
        <v>0</v>
      </c>
      <c r="L135" s="188">
        <f>Economic!E134</f>
        <v>175.57028482723447</v>
      </c>
      <c r="M135" s="187">
        <f t="shared" si="15"/>
        <v>133</v>
      </c>
      <c r="N135" s="189">
        <f>'Rate Class Customer Model'!W134</f>
        <v>12478.365051350635</v>
      </c>
      <c r="O135" s="191"/>
      <c r="P135" s="190">
        <f t="shared" ca="1" si="18"/>
        <v>23630697.990139119</v>
      </c>
      <c r="Q135" s="69"/>
      <c r="R135" s="69"/>
      <c r="S135"/>
    </row>
    <row r="136" spans="1:19" x14ac:dyDescent="0.2">
      <c r="A136" s="97">
        <f t="shared" si="12"/>
        <v>44594</v>
      </c>
      <c r="B136" s="118">
        <f t="shared" si="16"/>
        <v>2022</v>
      </c>
      <c r="C136" s="118">
        <f t="shared" si="17"/>
        <v>2</v>
      </c>
      <c r="D136" s="99"/>
      <c r="E136" s="115">
        <f>Purchases!E195</f>
        <v>0</v>
      </c>
      <c r="F136" s="199">
        <f ca="1">CDM!D151</f>
        <v>894424.15366865147</v>
      </c>
      <c r="G136" s="185"/>
      <c r="H136" s="197">
        <f t="shared" ref="H136:I146" ca="1" si="19">H124</f>
        <v>591.43000000000006</v>
      </c>
      <c r="I136" s="197">
        <f t="shared" ca="1" si="19"/>
        <v>0</v>
      </c>
      <c r="J136" s="96">
        <f t="shared" si="13"/>
        <v>28</v>
      </c>
      <c r="K136" s="187">
        <f t="shared" si="14"/>
        <v>0</v>
      </c>
      <c r="L136" s="188">
        <f>Economic!E135</f>
        <v>176.22951827135108</v>
      </c>
      <c r="M136" s="187">
        <f t="shared" si="15"/>
        <v>134</v>
      </c>
      <c r="N136" s="189">
        <f>'Rate Class Customer Model'!W135</f>
        <v>12487.234448689551</v>
      </c>
      <c r="O136" s="191"/>
      <c r="P136" s="190">
        <f t="shared" ca="1" si="18"/>
        <v>21320392.191110212</v>
      </c>
      <c r="Q136" s="69"/>
      <c r="R136" s="69"/>
      <c r="S136"/>
    </row>
    <row r="137" spans="1:19" x14ac:dyDescent="0.2">
      <c r="A137" s="97">
        <f t="shared" si="12"/>
        <v>44623</v>
      </c>
      <c r="B137" s="118">
        <f t="shared" si="16"/>
        <v>2022</v>
      </c>
      <c r="C137" s="118">
        <f t="shared" si="17"/>
        <v>3</v>
      </c>
      <c r="D137" s="99"/>
      <c r="E137" s="115">
        <f>Purchases!E196</f>
        <v>0</v>
      </c>
      <c r="F137" s="199">
        <f ca="1">CDM!D152</f>
        <v>892214.58903183509</v>
      </c>
      <c r="G137" s="185"/>
      <c r="H137" s="197">
        <f t="shared" ca="1" si="19"/>
        <v>493.21999999999997</v>
      </c>
      <c r="I137" s="197">
        <f t="shared" ca="1" si="19"/>
        <v>1.5699999999999998</v>
      </c>
      <c r="J137" s="96">
        <f t="shared" si="13"/>
        <v>31</v>
      </c>
      <c r="K137" s="187">
        <f t="shared" si="14"/>
        <v>1</v>
      </c>
      <c r="L137" s="188">
        <f>Economic!E136</f>
        <v>176.89122701323387</v>
      </c>
      <c r="M137" s="187">
        <f t="shared" si="15"/>
        <v>135</v>
      </c>
      <c r="N137" s="189">
        <f>'Rate Class Customer Model'!W136</f>
        <v>12496.103846028467</v>
      </c>
      <c r="O137" s="191"/>
      <c r="P137" s="190">
        <f t="shared" ca="1" si="18"/>
        <v>21158108.812494516</v>
      </c>
      <c r="Q137" s="69"/>
      <c r="R137" s="69"/>
      <c r="S137"/>
    </row>
    <row r="138" spans="1:19" x14ac:dyDescent="0.2">
      <c r="A138" s="97">
        <f t="shared" si="12"/>
        <v>44654</v>
      </c>
      <c r="B138" s="118">
        <f t="shared" si="16"/>
        <v>2022</v>
      </c>
      <c r="C138" s="118">
        <f t="shared" si="17"/>
        <v>4</v>
      </c>
      <c r="D138" s="99"/>
      <c r="E138" s="115">
        <f>Purchases!E197</f>
        <v>0</v>
      </c>
      <c r="F138" s="199">
        <f ca="1">CDM!D153</f>
        <v>890005.02439501882</v>
      </c>
      <c r="G138" s="185"/>
      <c r="H138" s="197">
        <f t="shared" ca="1" si="19"/>
        <v>298.61</v>
      </c>
      <c r="I138" s="197">
        <f t="shared" ca="1" si="19"/>
        <v>1.4</v>
      </c>
      <c r="J138" s="96">
        <f t="shared" si="13"/>
        <v>30</v>
      </c>
      <c r="K138" s="187">
        <f t="shared" si="14"/>
        <v>1</v>
      </c>
      <c r="L138" s="188">
        <f>Economic!E137</f>
        <v>177.55542034716106</v>
      </c>
      <c r="M138" s="187">
        <f t="shared" si="15"/>
        <v>136</v>
      </c>
      <c r="N138" s="189">
        <f>'Rate Class Customer Model'!W137</f>
        <v>12504.973243367383</v>
      </c>
      <c r="O138" s="191"/>
      <c r="P138" s="190">
        <f t="shared" ca="1" si="18"/>
        <v>18543241.781906977</v>
      </c>
      <c r="Q138" s="69"/>
      <c r="R138" s="69"/>
      <c r="S138"/>
    </row>
    <row r="139" spans="1:19" x14ac:dyDescent="0.2">
      <c r="A139" s="97">
        <f t="shared" si="12"/>
        <v>44684</v>
      </c>
      <c r="B139" s="118">
        <f t="shared" si="16"/>
        <v>2022</v>
      </c>
      <c r="C139" s="118">
        <f t="shared" si="17"/>
        <v>5</v>
      </c>
      <c r="D139" s="99"/>
      <c r="E139" s="115">
        <f>Purchases!E198</f>
        <v>0</v>
      </c>
      <c r="F139" s="199">
        <f ca="1">CDM!D154</f>
        <v>887795.45975820255</v>
      </c>
      <c r="G139" s="185"/>
      <c r="H139" s="197">
        <f t="shared" ca="1" si="19"/>
        <v>105.4</v>
      </c>
      <c r="I139" s="197">
        <f t="shared" ca="1" si="19"/>
        <v>59.319999999999993</v>
      </c>
      <c r="J139" s="96">
        <f t="shared" si="13"/>
        <v>31</v>
      </c>
      <c r="K139" s="187">
        <f t="shared" si="14"/>
        <v>1</v>
      </c>
      <c r="L139" s="188">
        <f>Economic!E138</f>
        <v>178.22210760230911</v>
      </c>
      <c r="M139" s="187">
        <f t="shared" si="15"/>
        <v>137</v>
      </c>
      <c r="N139" s="189">
        <f>'Rate Class Customer Model'!W138</f>
        <v>12513.8426407063</v>
      </c>
      <c r="O139" s="191"/>
      <c r="P139" s="190">
        <f t="shared" ca="1" si="18"/>
        <v>19550400.820020489</v>
      </c>
      <c r="Q139" s="69"/>
      <c r="R139" s="69"/>
      <c r="S139"/>
    </row>
    <row r="140" spans="1:19" x14ac:dyDescent="0.2">
      <c r="A140" s="97">
        <f t="shared" si="12"/>
        <v>44715</v>
      </c>
      <c r="B140" s="118">
        <f t="shared" si="16"/>
        <v>2022</v>
      </c>
      <c r="C140" s="118">
        <f t="shared" si="17"/>
        <v>6</v>
      </c>
      <c r="D140" s="99"/>
      <c r="E140" s="115">
        <f>Purchases!E199</f>
        <v>0</v>
      </c>
      <c r="F140" s="199">
        <f ca="1">CDM!D155</f>
        <v>885585.89512138627</v>
      </c>
      <c r="G140" s="185"/>
      <c r="H140" s="197">
        <f t="shared" ca="1" si="19"/>
        <v>12.239999999999998</v>
      </c>
      <c r="I140" s="197">
        <f t="shared" ca="1" si="19"/>
        <v>147.38999999999999</v>
      </c>
      <c r="J140" s="96">
        <f t="shared" si="13"/>
        <v>30</v>
      </c>
      <c r="K140" s="187">
        <f t="shared" si="14"/>
        <v>0</v>
      </c>
      <c r="L140" s="188">
        <f>Economic!E139</f>
        <v>178.89129814288381</v>
      </c>
      <c r="M140" s="187">
        <f t="shared" si="15"/>
        <v>138</v>
      </c>
      <c r="N140" s="189">
        <f>'Rate Class Customer Model'!W139</f>
        <v>12522.712038045216</v>
      </c>
      <c r="O140" s="191"/>
      <c r="P140" s="190">
        <f t="shared" ca="1" si="18"/>
        <v>22682014.794479884</v>
      </c>
      <c r="Q140" s="69"/>
      <c r="R140" s="69"/>
      <c r="S140"/>
    </row>
    <row r="141" spans="1:19" x14ac:dyDescent="0.2">
      <c r="A141" s="97">
        <f t="shared" si="12"/>
        <v>44745</v>
      </c>
      <c r="B141" s="118">
        <f t="shared" si="16"/>
        <v>2022</v>
      </c>
      <c r="C141" s="118">
        <f t="shared" si="17"/>
        <v>7</v>
      </c>
      <c r="D141" s="99"/>
      <c r="E141" s="115">
        <f>Purchases!E200</f>
        <v>0</v>
      </c>
      <c r="F141" s="199">
        <f ca="1">CDM!D156</f>
        <v>883376.33048457</v>
      </c>
      <c r="G141" s="185"/>
      <c r="H141" s="197">
        <f t="shared" ca="1" si="19"/>
        <v>1.0100000000000002</v>
      </c>
      <c r="I141" s="197">
        <f t="shared" ca="1" si="19"/>
        <v>229.98999999999995</v>
      </c>
      <c r="J141" s="96">
        <f t="shared" si="13"/>
        <v>31</v>
      </c>
      <c r="K141" s="187">
        <f t="shared" si="14"/>
        <v>0</v>
      </c>
      <c r="L141" s="188">
        <f>Economic!E140</f>
        <v>179.56300136825175</v>
      </c>
      <c r="M141" s="187">
        <f t="shared" si="15"/>
        <v>139</v>
      </c>
      <c r="N141" s="189">
        <f>'Rate Class Customer Model'!W140</f>
        <v>12531.581435384132</v>
      </c>
      <c r="O141" s="191"/>
      <c r="P141" s="190">
        <f t="shared" ca="1" si="18"/>
        <v>26815581.092981149</v>
      </c>
      <c r="Q141" s="69"/>
      <c r="R141" s="69"/>
      <c r="S141"/>
    </row>
    <row r="142" spans="1:19" x14ac:dyDescent="0.2">
      <c r="A142" s="97">
        <f t="shared" si="12"/>
        <v>44776</v>
      </c>
      <c r="B142" s="118">
        <f t="shared" si="16"/>
        <v>2022</v>
      </c>
      <c r="C142" s="118">
        <f t="shared" si="17"/>
        <v>8</v>
      </c>
      <c r="D142" s="99"/>
      <c r="E142" s="115">
        <f>Purchases!E201</f>
        <v>0</v>
      </c>
      <c r="F142" s="199">
        <f ca="1">CDM!D157</f>
        <v>881166.76584775362</v>
      </c>
      <c r="G142" s="185"/>
      <c r="H142" s="197">
        <f t="shared" ca="1" si="19"/>
        <v>2.3899999999999997</v>
      </c>
      <c r="I142" s="197">
        <f t="shared" ca="1" si="19"/>
        <v>185.42</v>
      </c>
      <c r="J142" s="96">
        <f t="shared" si="13"/>
        <v>31</v>
      </c>
      <c r="K142" s="187">
        <f t="shared" si="14"/>
        <v>0</v>
      </c>
      <c r="L142" s="188">
        <f>Economic!E141</f>
        <v>180.23722671307243</v>
      </c>
      <c r="M142" s="187">
        <f t="shared" si="15"/>
        <v>140</v>
      </c>
      <c r="N142" s="189">
        <f>'Rate Class Customer Model'!W141</f>
        <v>12540.450832723049</v>
      </c>
      <c r="O142" s="191"/>
      <c r="P142" s="190">
        <f t="shared" ca="1" si="18"/>
        <v>24819979.947692994</v>
      </c>
      <c r="Q142" s="69"/>
      <c r="R142" s="69"/>
      <c r="S142"/>
    </row>
    <row r="143" spans="1:19" x14ac:dyDescent="0.2">
      <c r="A143" s="97">
        <f t="shared" si="12"/>
        <v>44807</v>
      </c>
      <c r="B143" s="118">
        <f t="shared" si="16"/>
        <v>2022</v>
      </c>
      <c r="C143" s="118">
        <f t="shared" si="17"/>
        <v>9</v>
      </c>
      <c r="D143" s="99"/>
      <c r="E143" s="115">
        <f>Purchases!E202</f>
        <v>0</v>
      </c>
      <c r="F143" s="199">
        <f ca="1">CDM!D158</f>
        <v>878957.20121093735</v>
      </c>
      <c r="G143" s="185"/>
      <c r="H143" s="197">
        <f t="shared" ca="1" si="19"/>
        <v>45.749999999999993</v>
      </c>
      <c r="I143" s="197">
        <f t="shared" ca="1" si="19"/>
        <v>88.07</v>
      </c>
      <c r="J143" s="96">
        <f t="shared" si="13"/>
        <v>30</v>
      </c>
      <c r="K143" s="187">
        <f t="shared" si="14"/>
        <v>0</v>
      </c>
      <c r="L143" s="188">
        <f>Economic!E142</f>
        <v>180.91398364743068</v>
      </c>
      <c r="M143" s="187">
        <f t="shared" si="15"/>
        <v>141</v>
      </c>
      <c r="N143" s="189">
        <f>'Rate Class Customer Model'!W142</f>
        <v>12549.320230061965</v>
      </c>
      <c r="O143" s="191"/>
      <c r="P143" s="190">
        <f t="shared" ca="1" si="18"/>
        <v>20403339.585902959</v>
      </c>
      <c r="Q143" s="69"/>
      <c r="R143" s="69"/>
      <c r="S143"/>
    </row>
    <row r="144" spans="1:19" x14ac:dyDescent="0.2">
      <c r="A144" s="97">
        <f t="shared" si="12"/>
        <v>44837</v>
      </c>
      <c r="B144" s="118">
        <f t="shared" si="16"/>
        <v>2022</v>
      </c>
      <c r="C144" s="118">
        <f t="shared" si="17"/>
        <v>10</v>
      </c>
      <c r="D144" s="99"/>
      <c r="E144" s="115">
        <f>Purchases!E203</f>
        <v>0</v>
      </c>
      <c r="F144" s="199">
        <f ca="1">CDM!D159</f>
        <v>876747.63657412108</v>
      </c>
      <c r="G144" s="185"/>
      <c r="H144" s="197">
        <f t="shared" ca="1" si="19"/>
        <v>200.71</v>
      </c>
      <c r="I144" s="197">
        <f t="shared" ca="1" si="19"/>
        <v>17.57</v>
      </c>
      <c r="J144" s="96">
        <f t="shared" si="13"/>
        <v>31</v>
      </c>
      <c r="K144" s="187">
        <f t="shared" si="14"/>
        <v>0</v>
      </c>
      <c r="L144" s="188">
        <f>Economic!E143</f>
        <v>181.59328167696972</v>
      </c>
      <c r="M144" s="187">
        <f t="shared" si="15"/>
        <v>142</v>
      </c>
      <c r="N144" s="189">
        <f>'Rate Class Customer Model'!W143</f>
        <v>12558.189627400881</v>
      </c>
      <c r="O144" s="191"/>
      <c r="P144" s="190">
        <f t="shared" ca="1" si="18"/>
        <v>19400410.616252042</v>
      </c>
      <c r="Q144" s="69"/>
      <c r="R144" s="69"/>
      <c r="S144"/>
    </row>
    <row r="145" spans="1:22" x14ac:dyDescent="0.2">
      <c r="A145" s="97">
        <f t="shared" si="12"/>
        <v>44868</v>
      </c>
      <c r="B145" s="118">
        <f t="shared" si="16"/>
        <v>2022</v>
      </c>
      <c r="C145" s="118">
        <f t="shared" si="17"/>
        <v>11</v>
      </c>
      <c r="D145" s="99"/>
      <c r="E145" s="115">
        <f>Purchases!E204</f>
        <v>0</v>
      </c>
      <c r="F145" s="199">
        <f ca="1">CDM!D160</f>
        <v>874538.07193730481</v>
      </c>
      <c r="G145" s="185"/>
      <c r="H145" s="197">
        <f t="shared" ca="1" si="19"/>
        <v>400.69</v>
      </c>
      <c r="I145" s="197">
        <f t="shared" ca="1" si="19"/>
        <v>0.43999999999999984</v>
      </c>
      <c r="J145" s="96">
        <f t="shared" si="13"/>
        <v>30</v>
      </c>
      <c r="K145" s="187">
        <f t="shared" si="14"/>
        <v>0</v>
      </c>
      <c r="L145" s="188">
        <f>Economic!E144</f>
        <v>182.27513034302473</v>
      </c>
      <c r="M145" s="187">
        <f t="shared" si="15"/>
        <v>143</v>
      </c>
      <c r="N145" s="189">
        <f>'Rate Class Customer Model'!W144</f>
        <v>12567.059024739798</v>
      </c>
      <c r="O145" s="191"/>
      <c r="P145" s="190">
        <f t="shared" ca="1" si="18"/>
        <v>20358123.483454321</v>
      </c>
      <c r="Q145" s="69"/>
      <c r="R145" s="69"/>
      <c r="S145"/>
    </row>
    <row r="146" spans="1:22" x14ac:dyDescent="0.2">
      <c r="A146" s="97">
        <f t="shared" si="12"/>
        <v>44898</v>
      </c>
      <c r="B146" s="118">
        <f t="shared" si="16"/>
        <v>2022</v>
      </c>
      <c r="C146" s="118">
        <f t="shared" si="17"/>
        <v>12</v>
      </c>
      <c r="D146" s="99"/>
      <c r="E146" s="115">
        <f>Purchases!E205</f>
        <v>0</v>
      </c>
      <c r="F146" s="199">
        <f ca="1">CDM!D161</f>
        <v>872328.50730048842</v>
      </c>
      <c r="G146" s="185"/>
      <c r="H146" s="197">
        <f t="shared" ca="1" si="19"/>
        <v>549.42000000000007</v>
      </c>
      <c r="I146" s="197">
        <f t="shared" ca="1" si="19"/>
        <v>0</v>
      </c>
      <c r="J146" s="96">
        <f t="shared" si="13"/>
        <v>31</v>
      </c>
      <c r="K146" s="187">
        <f t="shared" si="14"/>
        <v>0</v>
      </c>
      <c r="L146" s="188">
        <f>Economic!E145</f>
        <v>182.95953922275672</v>
      </c>
      <c r="M146" s="187">
        <f t="shared" si="15"/>
        <v>144</v>
      </c>
      <c r="N146" s="189">
        <f>'Rate Class Customer Model'!W145</f>
        <v>12575.928422078721</v>
      </c>
      <c r="O146" s="191"/>
      <c r="P146" s="190">
        <f t="shared" ca="1" si="18"/>
        <v>22474533.104134321</v>
      </c>
      <c r="Q146" s="69"/>
      <c r="R146" s="69"/>
      <c r="S146"/>
    </row>
    <row r="147" spans="1:22" x14ac:dyDescent="0.2">
      <c r="A147" s="53"/>
      <c r="B147" s="53"/>
      <c r="C147" s="53"/>
      <c r="E147" s="116"/>
      <c r="F147" s="54"/>
      <c r="G147" s="54"/>
      <c r="H147" s="58"/>
      <c r="I147" s="58"/>
      <c r="J147" s="55"/>
      <c r="K147" s="56"/>
      <c r="L147" s="59"/>
      <c r="M147" s="56"/>
      <c r="N147" s="57"/>
      <c r="O147" s="60"/>
      <c r="P147" s="56"/>
      <c r="Q147" s="69"/>
      <c r="R147" s="69"/>
      <c r="S147"/>
    </row>
    <row r="148" spans="1:22" x14ac:dyDescent="0.2">
      <c r="A148" s="53"/>
      <c r="B148" s="53"/>
      <c r="C148" s="53"/>
      <c r="H148"/>
      <c r="I148"/>
      <c r="P148" s="62"/>
    </row>
    <row r="149" spans="1:22" s="208" customFormat="1" ht="25.5" x14ac:dyDescent="0.2">
      <c r="A149" s="200"/>
      <c r="B149" s="200"/>
      <c r="C149" s="200"/>
      <c r="D149" s="201" t="s">
        <v>4</v>
      </c>
      <c r="E149" s="202"/>
      <c r="F149" s="203" t="s">
        <v>80</v>
      </c>
      <c r="G149" s="203" t="s">
        <v>186</v>
      </c>
      <c r="H149" s="204"/>
      <c r="I149" s="204"/>
      <c r="J149" s="204"/>
      <c r="K149" s="204"/>
      <c r="L149" s="205"/>
      <c r="M149" s="202"/>
      <c r="N149" s="204"/>
      <c r="O149" s="204"/>
      <c r="P149" s="203" t="s">
        <v>184</v>
      </c>
      <c r="Q149" s="206" t="s">
        <v>185</v>
      </c>
      <c r="R149" s="207" t="s">
        <v>18</v>
      </c>
      <c r="S149" s="207" t="s">
        <v>6</v>
      </c>
      <c r="V149" s="209"/>
    </row>
    <row r="150" spans="1:22" x14ac:dyDescent="0.2">
      <c r="A150" s="50">
        <v>2011</v>
      </c>
      <c r="D150" s="51">
        <f t="shared" ref="D150:D159" si="20">SUMIF($B$3:$B$146,A150,$D$3:$D$146)</f>
        <v>255035715.38461539</v>
      </c>
      <c r="F150" s="51">
        <f ca="1">SUMIF($B$3:$B$146,A150,$F$3:$F$146)</f>
        <v>267510.07531960914</v>
      </c>
      <c r="G150" s="198">
        <f ca="1">SUMIF($B$3:$B$146,A150,$G$3:$G$146)</f>
        <v>255303225.45993498</v>
      </c>
      <c r="H150" s="63"/>
      <c r="P150" s="51">
        <f>SUMIF($B$3:$B$146,A150,$P$3:$P$146)</f>
        <v>252392660.45676318</v>
      </c>
      <c r="Q150" s="6">
        <f t="shared" ref="Q150:Q160" ca="1" si="21">P150-F150</f>
        <v>252125150.38144356</v>
      </c>
      <c r="R150" s="90">
        <f ca="1">Q150-D150</f>
        <v>-2910565.0031718314</v>
      </c>
      <c r="S150" s="91">
        <f t="shared" ref="S150:S159" ca="1" si="22">R150/D150</f>
        <v>-1.1412381982588022E-2</v>
      </c>
      <c r="T150" s="112">
        <f ca="1">ABS(S150)</f>
        <v>1.1412381982588022E-2</v>
      </c>
    </row>
    <row r="151" spans="1:22" x14ac:dyDescent="0.2">
      <c r="A151" s="64">
        <v>2012</v>
      </c>
      <c r="B151" s="64"/>
      <c r="C151" s="64"/>
      <c r="D151" s="51">
        <f t="shared" si="20"/>
        <v>246901827.27272725</v>
      </c>
      <c r="F151" s="51">
        <f t="shared" ref="F151:F160" ca="1" si="23">SUMIF($B$3:$B$146,A151,$F$3:$F$146)</f>
        <v>1131361.4706146342</v>
      </c>
      <c r="G151" s="198">
        <f t="shared" ref="G151:G159" ca="1" si="24">SUMIF($B$3:$B$146,A151,$G$3:$G$146)</f>
        <v>248033188.74334189</v>
      </c>
      <c r="H151" s="63"/>
      <c r="P151" s="51">
        <f t="shared" ref="P151:P160" si="25">SUMIF($B$3:$B$146,A151,$P$3:$P$146)</f>
        <v>250473214.17845818</v>
      </c>
      <c r="Q151" s="6">
        <f t="shared" ca="1" si="21"/>
        <v>249341852.70784354</v>
      </c>
      <c r="R151" s="90">
        <f t="shared" ref="R151:R159" ca="1" si="26">Q151-D151</f>
        <v>2440025.435116291</v>
      </c>
      <c r="S151" s="91">
        <f t="shared" ca="1" si="22"/>
        <v>9.8825734182236089E-3</v>
      </c>
      <c r="T151" s="112">
        <f t="shared" ref="T151:T159" ca="1" si="27">ABS(S151)</f>
        <v>9.8825734182236089E-3</v>
      </c>
    </row>
    <row r="152" spans="1:22" x14ac:dyDescent="0.2">
      <c r="A152" s="50">
        <v>2013</v>
      </c>
      <c r="D152" s="51">
        <f t="shared" si="20"/>
        <v>247681431.06060606</v>
      </c>
      <c r="F152" s="51">
        <f t="shared" ca="1" si="23"/>
        <v>2052776.6821097257</v>
      </c>
      <c r="G152" s="198">
        <f t="shared" ca="1" si="24"/>
        <v>249734207.74271581</v>
      </c>
      <c r="H152" s="63"/>
      <c r="P152" s="51">
        <f t="shared" si="25"/>
        <v>250382194.95055914</v>
      </c>
      <c r="Q152" s="6">
        <f t="shared" ca="1" si="21"/>
        <v>248329418.26844943</v>
      </c>
      <c r="R152" s="90">
        <f t="shared" ca="1" si="26"/>
        <v>647987.20784336329</v>
      </c>
      <c r="S152" s="91">
        <f t="shared" ca="1" si="22"/>
        <v>2.6162123057372234E-3</v>
      </c>
      <c r="T152" s="112">
        <f t="shared" ca="1" si="27"/>
        <v>2.6162123057372234E-3</v>
      </c>
    </row>
    <row r="153" spans="1:22" x14ac:dyDescent="0.2">
      <c r="A153" s="64">
        <v>2014</v>
      </c>
      <c r="B153" s="64"/>
      <c r="C153" s="64"/>
      <c r="D153" s="51">
        <f t="shared" si="20"/>
        <v>249772655.12820518</v>
      </c>
      <c r="F153" s="51">
        <f t="shared" ca="1" si="23"/>
        <v>2822123.6341703115</v>
      </c>
      <c r="G153" s="198">
        <f t="shared" ca="1" si="24"/>
        <v>252594778.76237547</v>
      </c>
      <c r="H153" s="63"/>
      <c r="P153" s="51">
        <f t="shared" si="25"/>
        <v>249370784.43298134</v>
      </c>
      <c r="Q153" s="6">
        <f t="shared" ca="1" si="21"/>
        <v>246548660.79881102</v>
      </c>
      <c r="R153" s="90">
        <f t="shared" ca="1" si="26"/>
        <v>-3223994.3293941617</v>
      </c>
      <c r="S153" s="91">
        <f t="shared" ca="1" si="22"/>
        <v>-1.2907715329123302E-2</v>
      </c>
      <c r="T153" s="112">
        <f t="shared" ca="1" si="27"/>
        <v>1.2907715329123302E-2</v>
      </c>
    </row>
    <row r="154" spans="1:22" x14ac:dyDescent="0.2">
      <c r="A154" s="50">
        <v>2015</v>
      </c>
      <c r="D154" s="51">
        <f t="shared" si="20"/>
        <v>247718853.84615383</v>
      </c>
      <c r="F154" s="51">
        <f t="shared" ca="1" si="23"/>
        <v>4373989.5217464902</v>
      </c>
      <c r="G154" s="198">
        <f t="shared" ca="1" si="24"/>
        <v>252092843.36790034</v>
      </c>
      <c r="H154" s="63"/>
      <c r="P154" s="51">
        <f t="shared" si="25"/>
        <v>250061739.07919025</v>
      </c>
      <c r="Q154" s="6">
        <f t="shared" ca="1" si="21"/>
        <v>245687749.55744377</v>
      </c>
      <c r="R154" s="90">
        <f t="shared" ca="1" si="26"/>
        <v>-2031104.2887100577</v>
      </c>
      <c r="S154" s="91">
        <f t="shared" ca="1" si="22"/>
        <v>-8.1992317386204213E-3</v>
      </c>
      <c r="T154" s="112">
        <f t="shared" ca="1" si="27"/>
        <v>8.1992317386204213E-3</v>
      </c>
    </row>
    <row r="155" spans="1:22" x14ac:dyDescent="0.2">
      <c r="A155" s="50">
        <v>2016</v>
      </c>
      <c r="D155" s="51">
        <f t="shared" si="20"/>
        <v>244970130.78000003</v>
      </c>
      <c r="F155" s="51">
        <f t="shared" ca="1" si="23"/>
        <v>6479982.9384643491</v>
      </c>
      <c r="G155" s="198">
        <f t="shared" ca="1" si="24"/>
        <v>251450113.71846434</v>
      </c>
      <c r="H155" s="65"/>
      <c r="I155" s="66"/>
      <c r="P155" s="51">
        <f t="shared" si="25"/>
        <v>256303224.92486987</v>
      </c>
      <c r="Q155" s="6">
        <f t="shared" ca="1" si="21"/>
        <v>249823241.98640552</v>
      </c>
      <c r="R155" s="90">
        <f t="shared" ca="1" si="26"/>
        <v>4853111.2064054906</v>
      </c>
      <c r="S155" s="91">
        <f t="shared" ca="1" si="22"/>
        <v>1.9811032434660033E-2</v>
      </c>
      <c r="T155" s="112">
        <f t="shared" ca="1" si="27"/>
        <v>1.9811032434660033E-2</v>
      </c>
    </row>
    <row r="156" spans="1:22" ht="13.5" customHeight="1" x14ac:dyDescent="0.2">
      <c r="A156" s="50">
        <v>2017</v>
      </c>
      <c r="D156" s="51">
        <f t="shared" si="20"/>
        <v>236059300</v>
      </c>
      <c r="F156" s="51">
        <f t="shared" ca="1" si="23"/>
        <v>8624532.2885947004</v>
      </c>
      <c r="G156" s="198">
        <f t="shared" ca="1" si="24"/>
        <v>244683832.28859466</v>
      </c>
      <c r="H156" s="63"/>
      <c r="P156" s="51">
        <f t="shared" si="25"/>
        <v>249004111.22899142</v>
      </c>
      <c r="Q156" s="6">
        <f t="shared" ca="1" si="21"/>
        <v>240379578.94039673</v>
      </c>
      <c r="R156" s="90">
        <f t="shared" ca="1" si="26"/>
        <v>4320278.9403967261</v>
      </c>
      <c r="S156" s="91">
        <f ca="1">R156/D156</f>
        <v>1.8301668014760384E-2</v>
      </c>
      <c r="T156" s="112">
        <f t="shared" ca="1" si="27"/>
        <v>1.8301668014760384E-2</v>
      </c>
    </row>
    <row r="157" spans="1:22" ht="13.5" customHeight="1" x14ac:dyDescent="0.2">
      <c r="A157" s="50">
        <v>2018</v>
      </c>
      <c r="D157" s="51">
        <f t="shared" si="20"/>
        <v>252552933.32999998</v>
      </c>
      <c r="F157" s="51">
        <f t="shared" ca="1" si="23"/>
        <v>10113218.890451701</v>
      </c>
      <c r="G157" s="198">
        <f t="shared" ca="1" si="24"/>
        <v>262666152.22045165</v>
      </c>
      <c r="H157" s="63"/>
      <c r="P157" s="51">
        <f t="shared" si="25"/>
        <v>262865044.24773216</v>
      </c>
      <c r="Q157" s="6">
        <f t="shared" ca="1" si="21"/>
        <v>252751825.35728046</v>
      </c>
      <c r="R157" s="90">
        <f t="shared" ca="1" si="26"/>
        <v>198892.02728047967</v>
      </c>
      <c r="S157" s="91">
        <f t="shared" ca="1" si="22"/>
        <v>7.8752610257983447E-4</v>
      </c>
      <c r="T157" s="112">
        <f t="shared" ca="1" si="27"/>
        <v>7.8752610257983447E-4</v>
      </c>
    </row>
    <row r="158" spans="1:22" ht="13.5" customHeight="1" x14ac:dyDescent="0.2">
      <c r="A158" s="50">
        <v>2019</v>
      </c>
      <c r="D158" s="51">
        <f t="shared" si="20"/>
        <v>248931820</v>
      </c>
      <c r="F158" s="51">
        <f t="shared" ca="1" si="23"/>
        <v>10880569.390879717</v>
      </c>
      <c r="G158" s="198">
        <f t="shared" ca="1" si="24"/>
        <v>259812389.39087972</v>
      </c>
      <c r="H158" s="63"/>
      <c r="P158" s="51">
        <f t="shared" si="25"/>
        <v>256666543.53939915</v>
      </c>
      <c r="Q158" s="6">
        <f t="shared" ca="1" si="21"/>
        <v>245785974.14851943</v>
      </c>
      <c r="R158" s="90">
        <f t="shared" ca="1" si="26"/>
        <v>-3145845.8514805734</v>
      </c>
      <c r="S158" s="91">
        <f t="shared" ca="1" si="22"/>
        <v>-1.2637379389587772E-2</v>
      </c>
      <c r="T158" s="112">
        <f t="shared" ca="1" si="27"/>
        <v>1.2637379389587772E-2</v>
      </c>
    </row>
    <row r="159" spans="1:22" ht="13.5" customHeight="1" x14ac:dyDescent="0.2">
      <c r="A159" s="50">
        <v>2020</v>
      </c>
      <c r="D159" s="51">
        <f t="shared" si="20"/>
        <v>245634675.53</v>
      </c>
      <c r="F159" s="51">
        <f t="shared" ca="1" si="23"/>
        <v>10914971.968468953</v>
      </c>
      <c r="G159" s="198">
        <f t="shared" ca="1" si="24"/>
        <v>256549647.49846897</v>
      </c>
      <c r="H159" s="63"/>
      <c r="P159" s="51">
        <f t="shared" si="25"/>
        <v>255363091.63216549</v>
      </c>
      <c r="Q159" s="6">
        <f t="shared" ca="1" si="21"/>
        <v>244448119.66369653</v>
      </c>
      <c r="R159" s="90">
        <f t="shared" ca="1" si="26"/>
        <v>-1186555.8663034737</v>
      </c>
      <c r="S159" s="91">
        <f t="shared" ca="1" si="22"/>
        <v>-4.8305715133389483E-3</v>
      </c>
      <c r="T159" s="112">
        <f t="shared" ca="1" si="27"/>
        <v>4.8305715133389483E-3</v>
      </c>
    </row>
    <row r="160" spans="1:22" ht="13.5" customHeight="1" x14ac:dyDescent="0.2">
      <c r="A160" s="50">
        <v>2021</v>
      </c>
      <c r="E160" s="62"/>
      <c r="F160" s="51">
        <f t="shared" ca="1" si="23"/>
        <v>10786119.395307409</v>
      </c>
      <c r="H160" s="62"/>
      <c r="P160" s="51">
        <f t="shared" ca="1" si="25"/>
        <v>258746418.46184638</v>
      </c>
      <c r="Q160" s="6">
        <f t="shared" ca="1" si="21"/>
        <v>247960299.06653896</v>
      </c>
      <c r="T160" s="237">
        <f ca="1">AVERAGE(T150:T159)</f>
        <v>1.0138629222921953E-2</v>
      </c>
      <c r="U160" s="90"/>
    </row>
    <row r="161" spans="1:21" ht="13.5" customHeight="1" x14ac:dyDescent="0.2">
      <c r="A161" s="50">
        <v>2022</v>
      </c>
      <c r="E161" s="62"/>
      <c r="F161" s="51">
        <f ca="1">SUMIF($B$3:$B$146,A161,$F$3:$F$146)</f>
        <v>10613773.353635736</v>
      </c>
      <c r="H161" s="62"/>
      <c r="P161" s="51">
        <f ca="1">SUMIF($B$3:$B$146,A161,$P$3:$P$146)</f>
        <v>261156824.22056898</v>
      </c>
      <c r="Q161" s="6">
        <f ca="1">P161-F161</f>
        <v>250543050.86693326</v>
      </c>
      <c r="R161" s="90"/>
      <c r="T161" s="6"/>
      <c r="U161" s="17"/>
    </row>
    <row r="162" spans="1:21" ht="13.5" customHeight="1" x14ac:dyDescent="0.2">
      <c r="H162" s="63"/>
      <c r="P162" s="62"/>
      <c r="Q162" s="51"/>
      <c r="R162" s="51"/>
    </row>
    <row r="163" spans="1:21" ht="13.5" customHeight="1" x14ac:dyDescent="0.2">
      <c r="A163" s="64"/>
      <c r="B163" s="64"/>
      <c r="C163" s="64"/>
      <c r="H163" s="63"/>
      <c r="Q163" s="51"/>
      <c r="R163" s="51"/>
    </row>
    <row r="164" spans="1:21" x14ac:dyDescent="0.2">
      <c r="A164" s="70" t="s">
        <v>85</v>
      </c>
      <c r="B164" s="70"/>
      <c r="C164" s="70"/>
      <c r="D164" s="51">
        <f>SUM(D150:D159)</f>
        <v>2475259342.3323078</v>
      </c>
      <c r="P164" s="51">
        <f>SUM(P150:P159)</f>
        <v>2532882608.6711102</v>
      </c>
      <c r="Q164" s="51">
        <f>D164-P164</f>
        <v>-57623266.338802338</v>
      </c>
      <c r="R164" s="51"/>
    </row>
    <row r="165" spans="1:21" x14ac:dyDescent="0.2">
      <c r="S165"/>
    </row>
    <row r="166" spans="1:21" x14ac:dyDescent="0.2">
      <c r="P166" s="51">
        <f ca="1">SUM(P150:P161)</f>
        <v>3052785851.3535256</v>
      </c>
      <c r="Q166" s="51">
        <f ca="1">P148-P166</f>
        <v>-3052785851.3535256</v>
      </c>
      <c r="R166" s="51"/>
      <c r="S166"/>
    </row>
    <row r="167" spans="1:21" x14ac:dyDescent="0.2">
      <c r="S167"/>
    </row>
    <row r="168" spans="1:21" x14ac:dyDescent="0.2">
      <c r="D168" s="67" t="s">
        <v>41</v>
      </c>
      <c r="P168" s="52" t="str">
        <f>P2</f>
        <v>Predicted Purchases + CDM</v>
      </c>
      <c r="S168"/>
    </row>
    <row r="169" spans="1:21" x14ac:dyDescent="0.2">
      <c r="A169" s="117">
        <f t="shared" ref="A169:A180" si="28">A135</f>
        <v>44563</v>
      </c>
      <c r="B169" s="227">
        <f>YEAR(A169)</f>
        <v>2022</v>
      </c>
      <c r="C169" s="227">
        <f>MONTH(A169)</f>
        <v>1</v>
      </c>
      <c r="F169" s="54">
        <f ca="1">F135</f>
        <v>896633.71830546774</v>
      </c>
      <c r="G169" s="54"/>
      <c r="H169" s="51">
        <f ca="1">Weather!AQ61</f>
        <v>671.48421052631579</v>
      </c>
      <c r="I169" s="51">
        <f ca="1">Weather!BF61</f>
        <v>0</v>
      </c>
      <c r="J169" s="51">
        <f t="shared" ref="J169:O169" si="29">J135</f>
        <v>31</v>
      </c>
      <c r="K169" s="51">
        <f t="shared" si="29"/>
        <v>0</v>
      </c>
      <c r="L169" s="51">
        <f t="shared" si="29"/>
        <v>175.57028482723447</v>
      </c>
      <c r="M169" s="51">
        <f t="shared" si="29"/>
        <v>133</v>
      </c>
      <c r="N169" s="51">
        <f t="shared" si="29"/>
        <v>12478.365051350635</v>
      </c>
      <c r="O169" s="51">
        <f t="shared" si="29"/>
        <v>0</v>
      </c>
      <c r="P169" s="190">
        <f t="shared" ref="P169:P180" ca="1" si="30">$T$17+H169*$T$18+I169*$T$19+J169*$T$20+K169*$T$21+$T$22*L169</f>
        <v>23629973.749928087</v>
      </c>
      <c r="Q169" s="56"/>
      <c r="R169" s="56"/>
      <c r="S169"/>
    </row>
    <row r="170" spans="1:21" x14ac:dyDescent="0.2">
      <c r="A170" s="117">
        <f t="shared" si="28"/>
        <v>44594</v>
      </c>
      <c r="B170" s="227">
        <f t="shared" ref="B170:B180" si="31">YEAR(A170)</f>
        <v>2022</v>
      </c>
      <c r="C170" s="227">
        <f t="shared" ref="C170:C180" si="32">MONTH(A170)</f>
        <v>2</v>
      </c>
      <c r="F170" s="54">
        <f t="shared" ref="F170:F180" ca="1" si="33">F136</f>
        <v>894424.15366865147</v>
      </c>
      <c r="G170" s="54"/>
      <c r="H170" s="51">
        <f ca="1">Weather!AQ62</f>
        <v>591.23894736842101</v>
      </c>
      <c r="I170" s="51">
        <f ca="1">Weather!BF62</f>
        <v>0</v>
      </c>
      <c r="J170" s="51">
        <f t="shared" ref="J170:O170" si="34">J136</f>
        <v>28</v>
      </c>
      <c r="K170" s="51">
        <f t="shared" si="34"/>
        <v>0</v>
      </c>
      <c r="L170" s="51">
        <f t="shared" si="34"/>
        <v>176.22951827135108</v>
      </c>
      <c r="M170" s="51">
        <f t="shared" si="34"/>
        <v>134</v>
      </c>
      <c r="N170" s="51">
        <f t="shared" si="34"/>
        <v>12487.234448689551</v>
      </c>
      <c r="O170" s="51">
        <f t="shared" si="34"/>
        <v>0</v>
      </c>
      <c r="P170" s="190">
        <f t="shared" ca="1" si="30"/>
        <v>21318288.997537363</v>
      </c>
      <c r="Q170" s="56"/>
      <c r="R170" s="56"/>
      <c r="S170"/>
    </row>
    <row r="171" spans="1:21" x14ac:dyDescent="0.2">
      <c r="A171" s="117">
        <f t="shared" si="28"/>
        <v>44623</v>
      </c>
      <c r="B171" s="227">
        <f t="shared" si="31"/>
        <v>2022</v>
      </c>
      <c r="C171" s="227">
        <f t="shared" si="32"/>
        <v>3</v>
      </c>
      <c r="F171" s="54">
        <f t="shared" ca="1" si="33"/>
        <v>892214.58903183509</v>
      </c>
      <c r="G171" s="54"/>
      <c r="H171" s="51">
        <f ca="1">Weather!AQ63</f>
        <v>489.76887218045113</v>
      </c>
      <c r="I171" s="51">
        <f ca="1">Weather!BF63</f>
        <v>1.1585714285714275</v>
      </c>
      <c r="J171" s="51">
        <f t="shared" ref="J171:O171" si="35">J137</f>
        <v>31</v>
      </c>
      <c r="K171" s="51">
        <f t="shared" si="35"/>
        <v>1</v>
      </c>
      <c r="L171" s="51">
        <f t="shared" si="35"/>
        <v>176.89122701323387</v>
      </c>
      <c r="M171" s="51">
        <f t="shared" si="35"/>
        <v>135</v>
      </c>
      <c r="N171" s="51">
        <f t="shared" si="35"/>
        <v>12496.103846028467</v>
      </c>
      <c r="O171" s="51">
        <f t="shared" si="35"/>
        <v>0</v>
      </c>
      <c r="P171" s="190">
        <f t="shared" ca="1" si="30"/>
        <v>21101396.882035993</v>
      </c>
      <c r="Q171" s="56"/>
      <c r="R171" s="56"/>
      <c r="S171"/>
    </row>
    <row r="172" spans="1:21" x14ac:dyDescent="0.2">
      <c r="A172" s="117">
        <f t="shared" si="28"/>
        <v>44654</v>
      </c>
      <c r="B172" s="227">
        <f t="shared" si="31"/>
        <v>2022</v>
      </c>
      <c r="C172" s="227">
        <f t="shared" si="32"/>
        <v>4</v>
      </c>
      <c r="F172" s="54">
        <f t="shared" ca="1" si="33"/>
        <v>890005.02439501882</v>
      </c>
      <c r="G172" s="54"/>
      <c r="H172" s="51">
        <f ca="1">Weather!AQ64</f>
        <v>314.25729323308315</v>
      </c>
      <c r="I172" s="51">
        <f ca="1">Weather!BF64</f>
        <v>0</v>
      </c>
      <c r="J172" s="51">
        <f t="shared" ref="J172:O172" si="36">J138</f>
        <v>30</v>
      </c>
      <c r="K172" s="51">
        <f t="shared" si="36"/>
        <v>1</v>
      </c>
      <c r="L172" s="51">
        <f t="shared" si="36"/>
        <v>177.55542034716106</v>
      </c>
      <c r="M172" s="51">
        <f t="shared" si="36"/>
        <v>136</v>
      </c>
      <c r="N172" s="51">
        <f t="shared" si="36"/>
        <v>12504.973243367383</v>
      </c>
      <c r="O172" s="51">
        <f t="shared" si="36"/>
        <v>0</v>
      </c>
      <c r="P172" s="190">
        <f t="shared" ca="1" si="30"/>
        <v>18651793.026967201</v>
      </c>
      <c r="Q172" s="56"/>
      <c r="R172" s="56"/>
      <c r="S172"/>
    </row>
    <row r="173" spans="1:21" x14ac:dyDescent="0.2">
      <c r="A173" s="117">
        <f t="shared" si="28"/>
        <v>44684</v>
      </c>
      <c r="B173" s="227">
        <f t="shared" si="31"/>
        <v>2022</v>
      </c>
      <c r="C173" s="227">
        <f t="shared" si="32"/>
        <v>5</v>
      </c>
      <c r="F173" s="54">
        <f t="shared" ca="1" si="33"/>
        <v>887795.45975820255</v>
      </c>
      <c r="G173" s="54"/>
      <c r="H173" s="51">
        <f ca="1">Weather!AQ65</f>
        <v>104.0659398496241</v>
      </c>
      <c r="I173" s="51">
        <f ca="1">Weather!BF65</f>
        <v>65.723157894736687</v>
      </c>
      <c r="J173" s="51">
        <f t="shared" ref="J173:O173" si="37">J139</f>
        <v>31</v>
      </c>
      <c r="K173" s="51">
        <f t="shared" si="37"/>
        <v>1</v>
      </c>
      <c r="L173" s="51">
        <f t="shared" si="37"/>
        <v>178.22210760230911</v>
      </c>
      <c r="M173" s="51">
        <f t="shared" si="37"/>
        <v>137</v>
      </c>
      <c r="N173" s="51">
        <f t="shared" si="37"/>
        <v>12513.8426407063</v>
      </c>
      <c r="O173" s="51">
        <f t="shared" si="37"/>
        <v>0</v>
      </c>
      <c r="P173" s="190">
        <f t="shared" ca="1" si="30"/>
        <v>19827064.143612601</v>
      </c>
      <c r="Q173" s="56"/>
      <c r="R173" s="56"/>
      <c r="S173"/>
    </row>
    <row r="174" spans="1:21" x14ac:dyDescent="0.2">
      <c r="A174" s="117">
        <f t="shared" si="28"/>
        <v>44715</v>
      </c>
      <c r="B174" s="227">
        <f t="shared" si="31"/>
        <v>2022</v>
      </c>
      <c r="C174" s="227">
        <f t="shared" si="32"/>
        <v>6</v>
      </c>
      <c r="F174" s="54">
        <f t="shared" ca="1" si="33"/>
        <v>885585.89512138627</v>
      </c>
      <c r="G174" s="54"/>
      <c r="H174" s="51">
        <f ca="1">Weather!AQ66</f>
        <v>9.1713533834586087</v>
      </c>
      <c r="I174" s="51">
        <f ca="1">Weather!BF66</f>
        <v>143.67225563909778</v>
      </c>
      <c r="J174" s="51">
        <f t="shared" ref="J174:O174" si="38">J140</f>
        <v>30</v>
      </c>
      <c r="K174" s="51">
        <f t="shared" si="38"/>
        <v>0</v>
      </c>
      <c r="L174" s="51">
        <f t="shared" si="38"/>
        <v>178.89129814288381</v>
      </c>
      <c r="M174" s="51">
        <f t="shared" si="38"/>
        <v>138</v>
      </c>
      <c r="N174" s="51">
        <f t="shared" si="38"/>
        <v>12522.712038045216</v>
      </c>
      <c r="O174" s="51">
        <f t="shared" si="38"/>
        <v>0</v>
      </c>
      <c r="P174" s="190">
        <f t="shared" ca="1" si="30"/>
        <v>22479073.14233584</v>
      </c>
      <c r="Q174" s="56"/>
      <c r="R174" s="56"/>
      <c r="S174"/>
    </row>
    <row r="175" spans="1:21" x14ac:dyDescent="0.2">
      <c r="A175" s="117">
        <f t="shared" si="28"/>
        <v>44745</v>
      </c>
      <c r="B175" s="227">
        <f t="shared" si="31"/>
        <v>2022</v>
      </c>
      <c r="C175" s="227">
        <f t="shared" si="32"/>
        <v>7</v>
      </c>
      <c r="F175" s="54">
        <f t="shared" ca="1" si="33"/>
        <v>883376.33048457</v>
      </c>
      <c r="G175" s="54"/>
      <c r="H175" s="51">
        <f ca="1">Weather!AQ67</f>
        <v>0.65849624060150802</v>
      </c>
      <c r="I175" s="51">
        <f ca="1">Weather!BF67</f>
        <v>229.87586466165419</v>
      </c>
      <c r="J175" s="51">
        <f t="shared" ref="J175:O175" si="39">J141</f>
        <v>31</v>
      </c>
      <c r="K175" s="51">
        <f t="shared" si="39"/>
        <v>0</v>
      </c>
      <c r="L175" s="51">
        <f t="shared" si="39"/>
        <v>179.56300136825175</v>
      </c>
      <c r="M175" s="51">
        <f t="shared" si="39"/>
        <v>139</v>
      </c>
      <c r="N175" s="51">
        <f t="shared" si="39"/>
        <v>12531.581435384132</v>
      </c>
      <c r="O175" s="51">
        <f t="shared" si="39"/>
        <v>0</v>
      </c>
      <c r="P175" s="190">
        <f t="shared" ca="1" si="30"/>
        <v>26806518.323720083</v>
      </c>
      <c r="Q175" s="56"/>
      <c r="R175" s="56"/>
      <c r="S175"/>
    </row>
    <row r="176" spans="1:21" x14ac:dyDescent="0.2">
      <c r="A176" s="117">
        <f t="shared" si="28"/>
        <v>44776</v>
      </c>
      <c r="B176" s="227">
        <f t="shared" si="31"/>
        <v>2022</v>
      </c>
      <c r="C176" s="227">
        <f t="shared" si="32"/>
        <v>8</v>
      </c>
      <c r="F176" s="54">
        <f t="shared" ca="1" si="33"/>
        <v>881166.76584775362</v>
      </c>
      <c r="G176" s="54"/>
      <c r="H176" s="51">
        <f ca="1">Weather!AQ68</f>
        <v>2.8183458646616657</v>
      </c>
      <c r="I176" s="51">
        <f ca="1">Weather!BF68</f>
        <v>179.64481203007472</v>
      </c>
      <c r="J176" s="51">
        <f t="shared" ref="J176:O176" si="40">J142</f>
        <v>31</v>
      </c>
      <c r="K176" s="51">
        <f t="shared" si="40"/>
        <v>0</v>
      </c>
      <c r="L176" s="51">
        <f t="shared" si="40"/>
        <v>180.23722671307243</v>
      </c>
      <c r="M176" s="51">
        <f t="shared" si="40"/>
        <v>140</v>
      </c>
      <c r="N176" s="51">
        <f t="shared" si="40"/>
        <v>12540.450832723049</v>
      </c>
      <c r="O176" s="51">
        <f t="shared" si="40"/>
        <v>0</v>
      </c>
      <c r="P176" s="190">
        <f t="shared" ca="1" si="30"/>
        <v>24561919.290952902</v>
      </c>
      <c r="Q176" s="56"/>
      <c r="R176" s="56"/>
      <c r="S176"/>
    </row>
    <row r="177" spans="1:19" x14ac:dyDescent="0.2">
      <c r="A177" s="117">
        <f t="shared" si="28"/>
        <v>44807</v>
      </c>
      <c r="B177" s="227">
        <f t="shared" si="31"/>
        <v>2022</v>
      </c>
      <c r="C177" s="227">
        <f t="shared" si="32"/>
        <v>9</v>
      </c>
      <c r="F177" s="54">
        <f t="shared" ca="1" si="33"/>
        <v>878957.20121093735</v>
      </c>
      <c r="G177" s="54"/>
      <c r="H177" s="51">
        <f ca="1">Weather!AQ69</f>
        <v>43.63390977443612</v>
      </c>
      <c r="I177" s="51">
        <f ca="1">Weather!BF69</f>
        <v>86.089473684210589</v>
      </c>
      <c r="J177" s="51">
        <f t="shared" ref="J177:O177" si="41">J143</f>
        <v>30</v>
      </c>
      <c r="K177" s="51">
        <f t="shared" si="41"/>
        <v>0</v>
      </c>
      <c r="L177" s="51">
        <f t="shared" si="41"/>
        <v>180.91398364743068</v>
      </c>
      <c r="M177" s="51">
        <f t="shared" si="41"/>
        <v>141</v>
      </c>
      <c r="N177" s="51">
        <f t="shared" si="41"/>
        <v>12549.320230061965</v>
      </c>
      <c r="O177" s="51">
        <f t="shared" si="41"/>
        <v>0</v>
      </c>
      <c r="P177" s="190">
        <f t="shared" ca="1" si="30"/>
        <v>20289929.038021203</v>
      </c>
      <c r="Q177" s="56"/>
      <c r="R177" s="56"/>
      <c r="S177"/>
    </row>
    <row r="178" spans="1:19" x14ac:dyDescent="0.2">
      <c r="A178" s="117">
        <f t="shared" si="28"/>
        <v>44837</v>
      </c>
      <c r="B178" s="227">
        <f t="shared" si="31"/>
        <v>2022</v>
      </c>
      <c r="C178" s="227">
        <f t="shared" si="32"/>
        <v>10</v>
      </c>
      <c r="F178" s="54">
        <f t="shared" ca="1" si="33"/>
        <v>876747.63657412108</v>
      </c>
      <c r="G178" s="54"/>
      <c r="H178" s="51">
        <f ca="1">Weather!AQ70</f>
        <v>198.16285714285721</v>
      </c>
      <c r="I178" s="51">
        <f ca="1">Weather!BF70</f>
        <v>18.094135338345865</v>
      </c>
      <c r="J178" s="51">
        <f t="shared" ref="J178:O178" si="42">J144</f>
        <v>31</v>
      </c>
      <c r="K178" s="51">
        <f t="shared" si="42"/>
        <v>0</v>
      </c>
      <c r="L178" s="51">
        <f t="shared" si="42"/>
        <v>181.59328167696972</v>
      </c>
      <c r="M178" s="51">
        <f t="shared" si="42"/>
        <v>142</v>
      </c>
      <c r="N178" s="51">
        <f t="shared" si="42"/>
        <v>12558.189627400881</v>
      </c>
      <c r="O178" s="51">
        <f t="shared" si="42"/>
        <v>0</v>
      </c>
      <c r="P178" s="190">
        <f t="shared" ca="1" si="30"/>
        <v>19396219.132667892</v>
      </c>
      <c r="Q178" s="56"/>
      <c r="R178" s="56"/>
      <c r="S178"/>
    </row>
    <row r="179" spans="1:19" x14ac:dyDescent="0.2">
      <c r="A179" s="117">
        <f t="shared" si="28"/>
        <v>44868</v>
      </c>
      <c r="B179" s="227">
        <f t="shared" si="31"/>
        <v>2022</v>
      </c>
      <c r="C179" s="227">
        <f t="shared" si="32"/>
        <v>11</v>
      </c>
      <c r="F179" s="54">
        <f ca="1">F145</f>
        <v>874538.07193730481</v>
      </c>
      <c r="G179" s="54"/>
      <c r="H179" s="51">
        <f ca="1">Weather!AQ71</f>
        <v>428.15120300752096</v>
      </c>
      <c r="I179" s="51">
        <f ca="1">Weather!BF71</f>
        <v>0.83105263157894171</v>
      </c>
      <c r="J179" s="51">
        <f t="shared" ref="J179:O179" si="43">J145</f>
        <v>30</v>
      </c>
      <c r="K179" s="51">
        <f t="shared" si="43"/>
        <v>0</v>
      </c>
      <c r="L179" s="51">
        <f t="shared" si="43"/>
        <v>182.27513034302473</v>
      </c>
      <c r="M179" s="51">
        <f t="shared" si="43"/>
        <v>143</v>
      </c>
      <c r="N179" s="51">
        <f t="shared" si="43"/>
        <v>12567.059024739798</v>
      </c>
      <c r="O179" s="51">
        <f t="shared" si="43"/>
        <v>0</v>
      </c>
      <c r="P179" s="190">
        <f t="shared" ca="1" si="30"/>
        <v>20678222.032108527</v>
      </c>
      <c r="Q179" s="56"/>
      <c r="R179" s="56"/>
      <c r="S179"/>
    </row>
    <row r="180" spans="1:19" x14ac:dyDescent="0.2">
      <c r="A180" s="117">
        <f t="shared" si="28"/>
        <v>44898</v>
      </c>
      <c r="B180" s="227">
        <f t="shared" si="31"/>
        <v>2022</v>
      </c>
      <c r="C180" s="227">
        <f t="shared" si="32"/>
        <v>12</v>
      </c>
      <c r="F180" s="54">
        <f t="shared" ca="1" si="33"/>
        <v>872328.50730048842</v>
      </c>
      <c r="G180" s="54"/>
      <c r="H180" s="51">
        <f ca="1">Weather!AQ72</f>
        <v>558.22135338345834</v>
      </c>
      <c r="I180" s="51">
        <f ca="1">Weather!BF72</f>
        <v>0</v>
      </c>
      <c r="J180" s="51">
        <f t="shared" ref="J180:O180" si="44">J146</f>
        <v>31</v>
      </c>
      <c r="K180" s="51">
        <f t="shared" si="44"/>
        <v>0</v>
      </c>
      <c r="L180" s="51">
        <f t="shared" si="44"/>
        <v>182.95953922275672</v>
      </c>
      <c r="M180" s="51">
        <f t="shared" si="44"/>
        <v>144</v>
      </c>
      <c r="N180" s="51">
        <f t="shared" si="44"/>
        <v>12575.928422078721</v>
      </c>
      <c r="O180" s="51">
        <f t="shared" si="44"/>
        <v>0</v>
      </c>
      <c r="P180" s="190">
        <f t="shared" ca="1" si="30"/>
        <v>22571422.373418171</v>
      </c>
      <c r="Q180" s="229" t="s">
        <v>206</v>
      </c>
    </row>
    <row r="181" spans="1:19" x14ac:dyDescent="0.2">
      <c r="F181" s="56">
        <f ca="1">SUM(F169:F180)</f>
        <v>10613773.353635736</v>
      </c>
      <c r="I181" s="51"/>
      <c r="P181" s="56">
        <f ca="1">SUM(P169:P180)</f>
        <v>261311820.13330588</v>
      </c>
      <c r="Q181" s="228">
        <f ca="1">P181-F181</f>
        <v>250698046.77967015</v>
      </c>
    </row>
    <row r="183" spans="1:19" x14ac:dyDescent="0.2">
      <c r="H183" s="230"/>
      <c r="I183" s="230"/>
    </row>
    <row r="184" spans="1:19" x14ac:dyDescent="0.2">
      <c r="H184" s="230"/>
      <c r="I184" s="230"/>
    </row>
    <row r="185" spans="1:19" x14ac:dyDescent="0.2">
      <c r="H185" s="230"/>
      <c r="I185" s="230"/>
    </row>
    <row r="186" spans="1:19" x14ac:dyDescent="0.2">
      <c r="H186" s="230"/>
      <c r="I186" s="230"/>
    </row>
    <row r="187" spans="1:19" x14ac:dyDescent="0.2">
      <c r="H187" s="230"/>
      <c r="I187" s="230"/>
    </row>
    <row r="188" spans="1:19" x14ac:dyDescent="0.2">
      <c r="H188" s="230"/>
      <c r="I188" s="230"/>
    </row>
    <row r="189" spans="1:19" x14ac:dyDescent="0.2">
      <c r="H189" s="230"/>
      <c r="I189" s="230"/>
    </row>
    <row r="190" spans="1:19" x14ac:dyDescent="0.2">
      <c r="H190" s="230"/>
      <c r="I190" s="230"/>
    </row>
    <row r="191" spans="1:19" x14ac:dyDescent="0.2">
      <c r="H191" s="230"/>
      <c r="I191" s="230"/>
    </row>
    <row r="192" spans="1:19" x14ac:dyDescent="0.2">
      <c r="H192" s="230"/>
      <c r="I192" s="230"/>
      <c r="S192" s="33"/>
    </row>
    <row r="193" spans="8:9" x14ac:dyDescent="0.2">
      <c r="H193" s="230"/>
      <c r="I193" s="230"/>
    </row>
    <row r="194" spans="8:9" x14ac:dyDescent="0.2">
      <c r="H194" s="230"/>
      <c r="I194" s="230"/>
    </row>
    <row r="195" spans="8:9" x14ac:dyDescent="0.2">
      <c r="H195" s="230"/>
      <c r="I195" s="230"/>
    </row>
    <row r="196" spans="8:9" x14ac:dyDescent="0.2">
      <c r="H196" s="230"/>
      <c r="I196" s="230"/>
    </row>
    <row r="197" spans="8:9" x14ac:dyDescent="0.2">
      <c r="H197" s="230"/>
      <c r="I197" s="230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A9C-63A4-4A2F-ADD5-ADCD85529F62}">
  <sheetPr codeName="Sheet5">
    <pageSetUpPr fitToPage="1"/>
  </sheetPr>
  <dimension ref="A1:AG175"/>
  <sheetViews>
    <sheetView zoomScale="98" zoomScaleNormal="98" workbookViewId="0">
      <selection activeCell="N10" sqref="N10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11" width="13.42578125" style="52" customWidth="1"/>
    <col min="12" max="12" width="11.5703125" style="52" customWidth="1"/>
    <col min="13" max="13" width="12.42578125" style="52" customWidth="1"/>
    <col min="14" max="14" width="14.42578125" style="61" customWidth="1"/>
    <col min="15" max="15" width="14.42578125" style="51" customWidth="1"/>
    <col min="16" max="17" width="12.42578125" style="52" customWidth="1"/>
    <col min="18" max="18" width="15.5703125" style="52" customWidth="1"/>
    <col min="19" max="19" width="15.42578125" style="52" bestFit="1" customWidth="1"/>
    <col min="20" max="20" width="15.42578125" style="52" customWidth="1"/>
    <col min="21" max="21" width="25.85546875" style="69" bestFit="1" customWidth="1"/>
    <col min="22" max="22" width="27.5703125" customWidth="1"/>
    <col min="23" max="23" width="20.7109375" customWidth="1"/>
    <col min="24" max="24" width="17.140625" customWidth="1"/>
    <col min="25" max="26" width="15.7109375" customWidth="1"/>
    <col min="27" max="27" width="15" customWidth="1"/>
    <col min="28" max="28" width="14.5703125" bestFit="1" customWidth="1"/>
    <col min="29" max="29" width="11.28515625" customWidth="1"/>
    <col min="30" max="30" width="25.85546875" bestFit="1" customWidth="1"/>
    <col min="31" max="31" width="11.7109375" bestFit="1" customWidth="1"/>
    <col min="32" max="32" width="10.7109375" bestFit="1" customWidth="1"/>
    <col min="33" max="33" width="11.140625" bestFit="1" customWidth="1"/>
  </cols>
  <sheetData>
    <row r="1" spans="1:27" x14ac:dyDescent="0.2">
      <c r="E1" s="52"/>
      <c r="N1" s="52"/>
      <c r="O1" s="52"/>
    </row>
    <row r="2" spans="1:27" ht="42" customHeight="1" x14ac:dyDescent="0.2">
      <c r="A2" s="95"/>
      <c r="B2" s="95"/>
      <c r="C2" s="95"/>
      <c r="D2" s="192" t="str">
        <f>Data!D1</f>
        <v>Purchases</v>
      </c>
      <c r="E2" s="192" t="str">
        <f>Data!E1</f>
        <v>Embedded</v>
      </c>
      <c r="F2" s="193" t="str">
        <f>Data!F1</f>
        <v>CDM</v>
      </c>
      <c r="G2" s="193" t="s">
        <v>183</v>
      </c>
      <c r="H2" s="194" t="str">
        <f>Data!U1</f>
        <v>HDD18</v>
      </c>
      <c r="I2" s="194" t="str">
        <f>Data!X1</f>
        <v>CDD16</v>
      </c>
      <c r="J2" s="194" t="s">
        <v>204</v>
      </c>
      <c r="K2" s="194" t="s">
        <v>205</v>
      </c>
      <c r="L2" s="194" t="str">
        <f>Data!AG1</f>
        <v>MonthDays</v>
      </c>
      <c r="M2" s="194" t="str">
        <f>Data!AU1</f>
        <v>Spring</v>
      </c>
      <c r="N2" s="195" t="str">
        <f>Data!M1</f>
        <v>GDP_Index</v>
      </c>
      <c r="O2" s="194" t="str">
        <f>Data!AX1</f>
        <v>Trend</v>
      </c>
      <c r="P2" s="194" t="s">
        <v>35</v>
      </c>
      <c r="Q2" s="194" t="s">
        <v>3</v>
      </c>
      <c r="R2" s="194" t="s">
        <v>187</v>
      </c>
      <c r="S2" s="10" t="s">
        <v>8</v>
      </c>
      <c r="T2" s="10" t="s">
        <v>78</v>
      </c>
      <c r="U2" s="52"/>
      <c r="V2" s="50"/>
      <c r="W2" s="50"/>
      <c r="X2" s="50"/>
      <c r="Y2" s="50"/>
      <c r="Z2" s="50"/>
      <c r="AA2" s="50"/>
    </row>
    <row r="3" spans="1:27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6">
        <f>Data!D2</f>
        <v>23397084.615384616</v>
      </c>
      <c r="E3" s="186">
        <f>Data!E2</f>
        <v>5500808.8137999997</v>
      </c>
      <c r="F3" s="185">
        <f ca="1">Data!F2</f>
        <v>3429.6163502514</v>
      </c>
      <c r="G3" s="185">
        <f ca="1">D3+F3</f>
        <v>23400514.231734868</v>
      </c>
      <c r="H3" s="196">
        <f>Data!U2</f>
        <v>730.89999999999986</v>
      </c>
      <c r="I3" s="187">
        <f>Data!X2</f>
        <v>0</v>
      </c>
      <c r="J3" s="225">
        <f ca="1">Weather!AL61</f>
        <v>671.55</v>
      </c>
      <c r="K3" s="225">
        <f ca="1">Weather!BA61</f>
        <v>0</v>
      </c>
      <c r="L3" s="187">
        <f>Data!AG2</f>
        <v>31</v>
      </c>
      <c r="M3" s="187">
        <f>Data!AU2</f>
        <v>0</v>
      </c>
      <c r="N3" s="188">
        <f>Data!M2</f>
        <v>137.72782792395429</v>
      </c>
      <c r="O3" s="187">
        <f>Data!AX2</f>
        <v>1</v>
      </c>
      <c r="P3" s="189">
        <f>Data!K2</f>
        <v>11342.75</v>
      </c>
      <c r="Q3" s="190"/>
      <c r="R3" s="190">
        <f ca="1">G3+(J3-H3)*$V$18+(K3-I3)*$V$19</f>
        <v>22747162.652555667</v>
      </c>
      <c r="S3" s="92">
        <f ca="1">R3-G3</f>
        <v>-653351.57917920128</v>
      </c>
      <c r="T3" s="93">
        <f t="shared" ref="T3:T66" ca="1" si="1">ABS(S3/D3)</f>
        <v>2.7924486743514779E-2</v>
      </c>
      <c r="U3" s="249"/>
      <c r="V3" s="249"/>
      <c r="W3" s="50"/>
      <c r="X3" s="50"/>
      <c r="Y3" s="50"/>
      <c r="Z3" s="50"/>
      <c r="AA3" s="50"/>
    </row>
    <row r="4" spans="1:27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6">
        <f>Data!D3</f>
        <v>20570361.53846154</v>
      </c>
      <c r="E4" s="186">
        <f>Data!E3</f>
        <v>5684569.301</v>
      </c>
      <c r="F4" s="185">
        <f ca="1">Data!F3</f>
        <v>6859.2327005028001</v>
      </c>
      <c r="G4" s="185">
        <f t="shared" ref="G4:G67" ca="1" si="3">D4+F4</f>
        <v>20577220.771162044</v>
      </c>
      <c r="H4" s="196">
        <f>Data!U3</f>
        <v>614.6</v>
      </c>
      <c r="I4" s="187">
        <f>Data!X3</f>
        <v>0</v>
      </c>
      <c r="J4" s="225">
        <f ca="1">Weather!AL62</f>
        <v>591.43000000000006</v>
      </c>
      <c r="K4" s="225">
        <f ca="1">Weather!BA62</f>
        <v>0</v>
      </c>
      <c r="L4" s="187">
        <f>Data!AG3</f>
        <v>28</v>
      </c>
      <c r="M4" s="187">
        <f>Data!AU3</f>
        <v>0</v>
      </c>
      <c r="N4" s="188">
        <f>Data!M3</f>
        <v>138.03145074637808</v>
      </c>
      <c r="O4" s="187">
        <f>Data!AX3</f>
        <v>2</v>
      </c>
      <c r="P4" s="189">
        <f>Data!K3</f>
        <v>11350.5</v>
      </c>
      <c r="Q4" s="190"/>
      <c r="R4" s="190">
        <f ca="1">G4+(J4-H4)*$V$18+(K4-I4)*$V$19</f>
        <v>20322154.956678774</v>
      </c>
      <c r="S4" s="92">
        <f t="shared" ref="S4:S67" ca="1" si="4">R4-G4</f>
        <v>-255065.81448327005</v>
      </c>
      <c r="T4" s="93">
        <f t="shared" ca="1" si="1"/>
        <v>1.2399675815437635E-2</v>
      </c>
      <c r="U4" s="25"/>
      <c r="V4" s="76"/>
      <c r="W4" s="50"/>
      <c r="X4" s="50"/>
      <c r="Y4" s="50"/>
      <c r="Z4" s="50"/>
      <c r="AA4" s="50"/>
    </row>
    <row r="5" spans="1:27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6">
        <f>Data!D4</f>
        <v>21011815.384615388</v>
      </c>
      <c r="E5" s="186">
        <f>Data!E4</f>
        <v>4907120.8032</v>
      </c>
      <c r="F5" s="185">
        <f ca="1">Data!F4</f>
        <v>10288.849050754201</v>
      </c>
      <c r="G5" s="185">
        <f t="shared" ca="1" si="3"/>
        <v>21022104.233666141</v>
      </c>
      <c r="H5" s="196">
        <f>Data!U4</f>
        <v>520.09999999999991</v>
      </c>
      <c r="I5" s="187">
        <f>Data!X4</f>
        <v>0</v>
      </c>
      <c r="J5" s="225">
        <f ca="1">Weather!AL63</f>
        <v>493.21999999999997</v>
      </c>
      <c r="K5" s="225">
        <f ca="1">Weather!BA63</f>
        <v>1.5699999999999998</v>
      </c>
      <c r="L5" s="187">
        <f>Data!AG4</f>
        <v>31</v>
      </c>
      <c r="M5" s="187">
        <f>Data!AU4</f>
        <v>1</v>
      </c>
      <c r="N5" s="188">
        <f>Data!M4</f>
        <v>138.33507356880187</v>
      </c>
      <c r="O5" s="187">
        <f>Data!AX4</f>
        <v>3</v>
      </c>
      <c r="P5" s="189">
        <f>Data!K4</f>
        <v>11358.25</v>
      </c>
      <c r="Q5" s="190"/>
      <c r="R5" s="190">
        <f t="shared" ref="R5:R67" ca="1" si="5">G5+(J5-H5)*$V$18+(K5-I5)*$V$19</f>
        <v>20797633.432256483</v>
      </c>
      <c r="S5" s="92">
        <f t="shared" ca="1" si="4"/>
        <v>-224470.80140965804</v>
      </c>
      <c r="T5" s="93">
        <f t="shared" ca="1" si="1"/>
        <v>1.0683075084222043E-2</v>
      </c>
      <c r="U5" s="25"/>
      <c r="V5" s="76"/>
      <c r="W5" s="50"/>
      <c r="X5" s="50"/>
      <c r="Y5" s="50"/>
      <c r="Z5" s="50"/>
      <c r="AA5" s="50"/>
    </row>
    <row r="6" spans="1:27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6">
        <f>Data!D5</f>
        <v>18252353.846153848</v>
      </c>
      <c r="E6" s="186">
        <f>Data!E5</f>
        <v>4732985.6480999999</v>
      </c>
      <c r="F6" s="185">
        <f ca="1">Data!F5</f>
        <v>13718.4654010056</v>
      </c>
      <c r="G6" s="185">
        <f t="shared" ca="1" si="3"/>
        <v>18266072.311554853</v>
      </c>
      <c r="H6" s="196">
        <f>Data!U5</f>
        <v>293.8</v>
      </c>
      <c r="I6" s="187">
        <f>Data!X5</f>
        <v>1.6999999999999993</v>
      </c>
      <c r="J6" s="225">
        <f ca="1">Weather!AL64</f>
        <v>298.61</v>
      </c>
      <c r="K6" s="225">
        <f ca="1">Weather!BA64</f>
        <v>1.4</v>
      </c>
      <c r="L6" s="187">
        <f>Data!AG5</f>
        <v>30</v>
      </c>
      <c r="M6" s="187">
        <f>Data!AU5</f>
        <v>1</v>
      </c>
      <c r="N6" s="188">
        <f>Data!M5</f>
        <v>138.63869639122566</v>
      </c>
      <c r="O6" s="187">
        <f>Data!AX5</f>
        <v>4</v>
      </c>
      <c r="P6" s="189">
        <f>Data!K5</f>
        <v>11366</v>
      </c>
      <c r="Q6" s="190"/>
      <c r="R6" s="190">
        <f t="shared" ca="1" si="5"/>
        <v>18305372.700643498</v>
      </c>
      <c r="S6" s="92">
        <f t="shared" ca="1" si="4"/>
        <v>39300.389088645577</v>
      </c>
      <c r="T6" s="93">
        <f t="shared" ca="1" si="1"/>
        <v>2.153168266400171E-3</v>
      </c>
      <c r="U6" s="25"/>
      <c r="V6" s="76"/>
      <c r="W6" s="50"/>
      <c r="X6" s="50"/>
      <c r="Y6" s="50"/>
      <c r="Z6" s="50"/>
      <c r="AA6" s="50"/>
    </row>
    <row r="7" spans="1:27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6">
        <f>Data!D6</f>
        <v>18454400</v>
      </c>
      <c r="E7" s="186">
        <f>Data!E6</f>
        <v>4046248.0761999995</v>
      </c>
      <c r="F7" s="185">
        <f ca="1">Data!F6</f>
        <v>17148.081751256999</v>
      </c>
      <c r="G7" s="185">
        <f t="shared" ca="1" si="3"/>
        <v>18471548.081751257</v>
      </c>
      <c r="H7" s="196">
        <f>Data!U6</f>
        <v>112.29999999999998</v>
      </c>
      <c r="I7" s="187">
        <f>Data!X6</f>
        <v>53.499999999999993</v>
      </c>
      <c r="J7" s="225">
        <f ca="1">Weather!AL65</f>
        <v>105.4</v>
      </c>
      <c r="K7" s="225">
        <f ca="1">Weather!BA65</f>
        <v>59.319999999999993</v>
      </c>
      <c r="L7" s="187">
        <f>Data!AG6</f>
        <v>31</v>
      </c>
      <c r="M7" s="187">
        <f>Data!AU6</f>
        <v>1</v>
      </c>
      <c r="N7" s="188">
        <f>Data!M6</f>
        <v>138.94231921364945</v>
      </c>
      <c r="O7" s="187">
        <f>Data!AX6</f>
        <v>5</v>
      </c>
      <c r="P7" s="189">
        <f>Data!K6</f>
        <v>11373.75</v>
      </c>
      <c r="Q7" s="190"/>
      <c r="R7" s="190">
        <f t="shared" ca="1" si="5"/>
        <v>18660404.836096939</v>
      </c>
      <c r="S7" s="92">
        <f t="shared" ca="1" si="4"/>
        <v>188856.75434568152</v>
      </c>
      <c r="T7" s="93">
        <f t="shared" ca="1" si="1"/>
        <v>1.0233697890241976E-2</v>
      </c>
      <c r="U7" s="25"/>
      <c r="V7" s="77"/>
      <c r="W7" s="50"/>
      <c r="X7" s="50"/>
      <c r="Y7" s="50"/>
      <c r="Z7" s="50"/>
      <c r="AA7" s="50"/>
    </row>
    <row r="8" spans="1:27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6">
        <f>Data!D7</f>
        <v>21528092.307692308</v>
      </c>
      <c r="E8" s="186">
        <f>Data!E7</f>
        <v>3885225.7753999992</v>
      </c>
      <c r="F8" s="185">
        <f ca="1">Data!F7</f>
        <v>20577.698101508402</v>
      </c>
      <c r="G8" s="185">
        <f t="shared" ca="1" si="3"/>
        <v>21548670.005793817</v>
      </c>
      <c r="H8" s="196">
        <f>Data!U7</f>
        <v>10.099999999999994</v>
      </c>
      <c r="I8" s="187">
        <f>Data!X7</f>
        <v>155.69999999999999</v>
      </c>
      <c r="J8" s="225">
        <f ca="1">Weather!AL66</f>
        <v>12.239999999999998</v>
      </c>
      <c r="K8" s="225">
        <f ca="1">Weather!BA66</f>
        <v>147.38999999999999</v>
      </c>
      <c r="L8" s="187">
        <f>Data!AG7</f>
        <v>30</v>
      </c>
      <c r="M8" s="187">
        <f>Data!AU7</f>
        <v>0</v>
      </c>
      <c r="N8" s="188">
        <f>Data!M7</f>
        <v>139.24594203607325</v>
      </c>
      <c r="O8" s="187">
        <f>Data!AX7</f>
        <v>6</v>
      </c>
      <c r="P8" s="189">
        <f>Data!K7</f>
        <v>11381.5</v>
      </c>
      <c r="Q8" s="190"/>
      <c r="R8" s="190">
        <f t="shared" ca="1" si="5"/>
        <v>21194115.855568573</v>
      </c>
      <c r="S8" s="92">
        <f t="shared" ca="1" si="4"/>
        <v>-354554.15022524446</v>
      </c>
      <c r="T8" s="93">
        <f t="shared" ca="1" si="1"/>
        <v>1.6469371515030015E-2</v>
      </c>
      <c r="U8" s="25"/>
      <c r="V8" s="25"/>
      <c r="W8" s="50"/>
      <c r="X8" s="50"/>
      <c r="Y8" s="50"/>
      <c r="Z8" s="50"/>
      <c r="AA8" s="50"/>
    </row>
    <row r="9" spans="1:27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6">
        <f>Data!D8</f>
        <v>28389523.076923076</v>
      </c>
      <c r="E9" s="186">
        <f>Data!E8</f>
        <v>4417346.6200999999</v>
      </c>
      <c r="F9" s="185">
        <f ca="1">Data!F8</f>
        <v>24007.314451759801</v>
      </c>
      <c r="G9" s="185">
        <f t="shared" ca="1" si="3"/>
        <v>28413530.391374838</v>
      </c>
      <c r="H9" s="196">
        <f>Data!U8</f>
        <v>0</v>
      </c>
      <c r="I9" s="187">
        <f>Data!X8</f>
        <v>304.29999999999995</v>
      </c>
      <c r="J9" s="225">
        <f ca="1">Weather!AL67</f>
        <v>1.0100000000000002</v>
      </c>
      <c r="K9" s="225">
        <f ca="1">Weather!BA67</f>
        <v>229.98999999999995</v>
      </c>
      <c r="L9" s="187">
        <f>Data!AG8</f>
        <v>31</v>
      </c>
      <c r="M9" s="187">
        <f>Data!AU8</f>
        <v>0</v>
      </c>
      <c r="N9" s="188">
        <f>Data!M8</f>
        <v>139.54956485849704</v>
      </c>
      <c r="O9" s="187">
        <f>Data!AX8</f>
        <v>7</v>
      </c>
      <c r="P9" s="189">
        <f>Data!K8</f>
        <v>11389.25</v>
      </c>
      <c r="Q9" s="190"/>
      <c r="R9" s="190">
        <f t="shared" ca="1" si="5"/>
        <v>25043479.222759355</v>
      </c>
      <c r="S9" s="92">
        <f t="shared" ca="1" si="4"/>
        <v>-3370051.1686154827</v>
      </c>
      <c r="T9" s="93">
        <f t="shared" ca="1" si="1"/>
        <v>0.11870756544532755</v>
      </c>
      <c r="U9" s="50"/>
      <c r="V9" s="50"/>
      <c r="W9" s="50"/>
      <c r="X9" s="50"/>
      <c r="Y9" s="50"/>
      <c r="Z9" s="50"/>
      <c r="AA9" s="50"/>
    </row>
    <row r="10" spans="1:27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6">
        <f>Data!D9</f>
        <v>24810530.769230768</v>
      </c>
      <c r="E10" s="186">
        <f>Data!E9</f>
        <v>6295914.5817999998</v>
      </c>
      <c r="F10" s="185">
        <f ca="1">Data!F9</f>
        <v>27436.9308020112</v>
      </c>
      <c r="G10" s="185">
        <f t="shared" ca="1" si="3"/>
        <v>24837967.700032778</v>
      </c>
      <c r="H10" s="196">
        <f>Data!U9</f>
        <v>0</v>
      </c>
      <c r="I10" s="187">
        <f>Data!X9</f>
        <v>206.4</v>
      </c>
      <c r="J10" s="225">
        <f ca="1">Weather!AL68</f>
        <v>2.3899999999999997</v>
      </c>
      <c r="K10" s="225">
        <f ca="1">Weather!BA68</f>
        <v>185.42</v>
      </c>
      <c r="L10" s="187">
        <f>Data!AG9</f>
        <v>31</v>
      </c>
      <c r="M10" s="187">
        <f>Data!AU9</f>
        <v>0</v>
      </c>
      <c r="N10" s="188">
        <f>Data!M9</f>
        <v>139.85318768092083</v>
      </c>
      <c r="O10" s="187">
        <f>Data!AX9</f>
        <v>8</v>
      </c>
      <c r="P10" s="189">
        <f>Data!K9</f>
        <v>11397</v>
      </c>
      <c r="Q10" s="190"/>
      <c r="R10" s="190">
        <f t="shared" ca="1" si="5"/>
        <v>23909669.630394042</v>
      </c>
      <c r="S10" s="92">
        <f t="shared" ca="1" si="4"/>
        <v>-928298.06963873655</v>
      </c>
      <c r="T10" s="93">
        <f t="shared" ca="1" si="1"/>
        <v>3.7415486120513888E-2</v>
      </c>
      <c r="U10" s="50"/>
      <c r="V10" s="50"/>
      <c r="W10" s="50"/>
      <c r="X10" s="50"/>
      <c r="Y10" s="50"/>
      <c r="Z10" s="50"/>
      <c r="AA10" s="50"/>
    </row>
    <row r="11" spans="1:27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6">
        <f>Data!D10</f>
        <v>19628307.692307692</v>
      </c>
      <c r="E11" s="186">
        <f>Data!E10</f>
        <v>5299992.0924000004</v>
      </c>
      <c r="F11" s="185">
        <f ca="1">Data!F10</f>
        <v>30866.547152262599</v>
      </c>
      <c r="G11" s="185">
        <f t="shared" ca="1" si="3"/>
        <v>19659174.239459954</v>
      </c>
      <c r="H11" s="196">
        <f>Data!U10</f>
        <v>59.3</v>
      </c>
      <c r="I11" s="187">
        <f>Data!X10</f>
        <v>76.599999999999994</v>
      </c>
      <c r="J11" s="225">
        <f ca="1">Weather!AL69</f>
        <v>45.749999999999993</v>
      </c>
      <c r="K11" s="225">
        <f ca="1">Weather!BA69</f>
        <v>88.07</v>
      </c>
      <c r="L11" s="187">
        <f>Data!AG10</f>
        <v>30</v>
      </c>
      <c r="M11" s="187">
        <f>Data!AU10</f>
        <v>0</v>
      </c>
      <c r="N11" s="188">
        <f>Data!M10</f>
        <v>140.15681050334462</v>
      </c>
      <c r="O11" s="187">
        <f>Data!AX10</f>
        <v>9</v>
      </c>
      <c r="P11" s="189">
        <f>Data!K10</f>
        <v>11404.75</v>
      </c>
      <c r="Q11" s="190"/>
      <c r="R11" s="190">
        <f t="shared" ca="1" si="5"/>
        <v>20031904.712928258</v>
      </c>
      <c r="S11" s="92">
        <f t="shared" ca="1" si="4"/>
        <v>372730.47346830368</v>
      </c>
      <c r="T11" s="93">
        <f t="shared" ca="1" si="1"/>
        <v>1.8989435019626081E-2</v>
      </c>
      <c r="U11" s="250"/>
      <c r="V11" s="250"/>
      <c r="W11" s="250"/>
      <c r="X11" s="250"/>
      <c r="Y11" s="250"/>
      <c r="Z11" s="250"/>
      <c r="AA11" s="50"/>
    </row>
    <row r="12" spans="1:27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6">
        <f>Data!D11</f>
        <v>18511823.076923076</v>
      </c>
      <c r="E12" s="186">
        <f>Data!E11</f>
        <v>4140209.2447999995</v>
      </c>
      <c r="F12" s="185">
        <f ca="1">Data!F11</f>
        <v>34296.163502513999</v>
      </c>
      <c r="G12" s="185">
        <f t="shared" ca="1" si="3"/>
        <v>18546119.24042559</v>
      </c>
      <c r="H12" s="196">
        <f>Data!U11</f>
        <v>189.50000000000003</v>
      </c>
      <c r="I12" s="187">
        <f>Data!X11</f>
        <v>15.899999999999999</v>
      </c>
      <c r="J12" s="225">
        <f ca="1">Weather!AL70</f>
        <v>200.71</v>
      </c>
      <c r="K12" s="225">
        <f ca="1">Weather!BA70</f>
        <v>17.57</v>
      </c>
      <c r="L12" s="187">
        <f>Data!AG11</f>
        <v>31</v>
      </c>
      <c r="M12" s="187">
        <f>Data!AU11</f>
        <v>0</v>
      </c>
      <c r="N12" s="188">
        <f>Data!M11</f>
        <v>140.46043332576841</v>
      </c>
      <c r="O12" s="187">
        <f>Data!AX11</f>
        <v>10</v>
      </c>
      <c r="P12" s="189">
        <f>Data!K11</f>
        <v>11412.5</v>
      </c>
      <c r="Q12" s="190"/>
      <c r="R12" s="190">
        <f t="shared" ca="1" si="5"/>
        <v>18745510.432592165</v>
      </c>
      <c r="S12" s="92">
        <f t="shared" ca="1" si="4"/>
        <v>199391.1921665743</v>
      </c>
      <c r="T12" s="93">
        <f t="shared" ca="1" si="1"/>
        <v>1.0771018680225843E-2</v>
      </c>
      <c r="U12" s="25"/>
      <c r="V12" s="25"/>
      <c r="W12" s="25"/>
      <c r="X12" s="25"/>
      <c r="Y12" s="77"/>
      <c r="Z12" s="25"/>
      <c r="AA12" s="50"/>
    </row>
    <row r="13" spans="1:27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6">
        <f>Data!D12</f>
        <v>18941946.153846152</v>
      </c>
      <c r="E13" s="186">
        <f>Data!E12</f>
        <v>3941621.7615999999</v>
      </c>
      <c r="F13" s="185">
        <f ca="1">Data!F12</f>
        <v>37725.779852765401</v>
      </c>
      <c r="G13" s="185">
        <f t="shared" ca="1" si="3"/>
        <v>18979671.933698919</v>
      </c>
      <c r="H13" s="196">
        <f>Data!U12</f>
        <v>314.09999999999991</v>
      </c>
      <c r="I13" s="187">
        <f>Data!X12</f>
        <v>0</v>
      </c>
      <c r="J13" s="225">
        <f ca="1">Weather!AL71</f>
        <v>400.69</v>
      </c>
      <c r="K13" s="225">
        <f ca="1">Weather!BA71</f>
        <v>0.43999999999999984</v>
      </c>
      <c r="L13" s="187">
        <f>Data!AG12</f>
        <v>30</v>
      </c>
      <c r="M13" s="187">
        <f>Data!AU12</f>
        <v>0</v>
      </c>
      <c r="N13" s="188">
        <f>Data!M12</f>
        <v>140.7640561481922</v>
      </c>
      <c r="O13" s="187">
        <f>Data!AX12</f>
        <v>11</v>
      </c>
      <c r="P13" s="189">
        <f>Data!K12</f>
        <v>11420.25</v>
      </c>
      <c r="Q13" s="190"/>
      <c r="R13" s="190">
        <f t="shared" ca="1" si="5"/>
        <v>19952914.106900387</v>
      </c>
      <c r="S13" s="92">
        <f t="shared" ca="1" si="4"/>
        <v>973242.17320146784</v>
      </c>
      <c r="T13" s="93">
        <f t="shared" ca="1" si="1"/>
        <v>5.1380262898902365E-2</v>
      </c>
      <c r="U13" s="25"/>
      <c r="V13" s="25"/>
      <c r="W13" s="25"/>
      <c r="X13" s="25"/>
      <c r="Y13" s="25"/>
      <c r="Z13" s="25"/>
      <c r="AA13" s="50"/>
    </row>
    <row r="14" spans="1:27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6">
        <f>Data!D13</f>
        <v>21539476.923076924</v>
      </c>
      <c r="E14" s="186">
        <f>Data!E13</f>
        <v>4160346.3289999999</v>
      </c>
      <c r="F14" s="185">
        <f ca="1">Data!F13</f>
        <v>41155.396203016804</v>
      </c>
      <c r="G14" s="185">
        <f t="shared" ca="1" si="3"/>
        <v>21580632.319279939</v>
      </c>
      <c r="H14" s="196">
        <f>Data!U13</f>
        <v>495.60000000000014</v>
      </c>
      <c r="I14" s="187">
        <f>Data!X13</f>
        <v>0</v>
      </c>
      <c r="J14" s="225">
        <f ca="1">Weather!AL72</f>
        <v>549.42000000000007</v>
      </c>
      <c r="K14" s="225">
        <f ca="1">Weather!BA72</f>
        <v>0</v>
      </c>
      <c r="L14" s="187">
        <f>Data!AG13</f>
        <v>31</v>
      </c>
      <c r="M14" s="187">
        <f>Data!AU13</f>
        <v>0</v>
      </c>
      <c r="N14" s="188">
        <f>Data!M13</f>
        <v>141.06767897061599</v>
      </c>
      <c r="O14" s="187">
        <f>Data!AX13</f>
        <v>12</v>
      </c>
      <c r="P14" s="189">
        <f>Data!K13</f>
        <v>11404</v>
      </c>
      <c r="Q14" s="190"/>
      <c r="R14" s="190">
        <f t="shared" ca="1" si="5"/>
        <v>22173107.163280353</v>
      </c>
      <c r="S14" s="92">
        <f t="shared" ca="1" si="4"/>
        <v>592474.84400041401</v>
      </c>
      <c r="T14" s="93">
        <f t="shared" ca="1" si="1"/>
        <v>2.7506463881007689E-2</v>
      </c>
      <c r="U14" s="25"/>
      <c r="V14" s="25"/>
      <c r="W14" s="25"/>
      <c r="X14" s="25"/>
      <c r="Y14" s="25"/>
      <c r="Z14" s="25"/>
      <c r="AA14" s="50"/>
    </row>
    <row r="15" spans="1:27" x14ac:dyDescent="0.2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6">
        <f>Data!D14</f>
        <v>22039669.230769232</v>
      </c>
      <c r="E15" s="186">
        <f>Data!E14</f>
        <v>5033525.5924000004</v>
      </c>
      <c r="F15" s="185">
        <f ca="1">Data!F14</f>
        <v>52230.414091414554</v>
      </c>
      <c r="G15" s="185">
        <f t="shared" ca="1" si="3"/>
        <v>22091899.644860648</v>
      </c>
      <c r="H15" s="196">
        <f>Data!U14</f>
        <v>586.79999999999995</v>
      </c>
      <c r="I15" s="187">
        <f>Data!X14</f>
        <v>0</v>
      </c>
      <c r="J15" s="225">
        <f t="shared" ref="J15:K34" ca="1" si="6">J3</f>
        <v>671.55</v>
      </c>
      <c r="K15" s="225">
        <f t="shared" ca="1" si="6"/>
        <v>0</v>
      </c>
      <c r="L15" s="187">
        <f>Data!AG14</f>
        <v>31</v>
      </c>
      <c r="M15" s="187">
        <f>Data!AU14</f>
        <v>0</v>
      </c>
      <c r="N15" s="188">
        <f>Data!M14</f>
        <v>141.23684578433688</v>
      </c>
      <c r="O15" s="187">
        <f>Data!AX14</f>
        <v>13</v>
      </c>
      <c r="P15" s="189">
        <f>Data!K14</f>
        <v>11409.166666666666</v>
      </c>
      <c r="Q15" s="191"/>
      <c r="R15" s="190">
        <f t="shared" ca="1" si="5"/>
        <v>23024865.884716377</v>
      </c>
      <c r="S15" s="92">
        <f t="shared" ca="1" si="4"/>
        <v>932966.23985572904</v>
      </c>
      <c r="T15" s="93">
        <f t="shared" ca="1" si="1"/>
        <v>4.2331226938434705E-2</v>
      </c>
      <c r="U15" s="50"/>
      <c r="V15" s="50"/>
      <c r="W15" s="50"/>
      <c r="X15" s="50"/>
      <c r="Y15" s="50"/>
      <c r="Z15" s="50"/>
      <c r="AA15" s="50"/>
    </row>
    <row r="16" spans="1:27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6">
        <f>Data!D15</f>
        <v>19611361.53846154</v>
      </c>
      <c r="E16" s="186">
        <f>Data!E15</f>
        <v>5163650.5350000001</v>
      </c>
      <c r="F16" s="185">
        <f ca="1">Data!F15</f>
        <v>59875.815629560908</v>
      </c>
      <c r="G16" s="185">
        <f t="shared" ca="1" si="3"/>
        <v>19671237.3540911</v>
      </c>
      <c r="H16" s="196">
        <f>Data!U15</f>
        <v>507.1</v>
      </c>
      <c r="I16" s="187">
        <f>Data!X15</f>
        <v>0</v>
      </c>
      <c r="J16" s="225">
        <f t="shared" ca="1" si="6"/>
        <v>591.43000000000006</v>
      </c>
      <c r="K16" s="225">
        <f t="shared" ca="1" si="6"/>
        <v>0</v>
      </c>
      <c r="L16" s="187">
        <f>Data!AG15</f>
        <v>29</v>
      </c>
      <c r="M16" s="187">
        <f>Data!AU15</f>
        <v>0</v>
      </c>
      <c r="N16" s="188">
        <f>Data!M15</f>
        <v>141.40601259805777</v>
      </c>
      <c r="O16" s="187">
        <f>Data!AX15</f>
        <v>14</v>
      </c>
      <c r="P16" s="189">
        <f>Data!K15</f>
        <v>11414.333333333332</v>
      </c>
      <c r="Q16" s="191"/>
      <c r="R16" s="190">
        <f t="shared" ca="1" si="5"/>
        <v>20599580.04443958</v>
      </c>
      <c r="S16" s="92">
        <f t="shared" ca="1" si="4"/>
        <v>928342.6903484799</v>
      </c>
      <c r="T16" s="93">
        <f t="shared" ca="1" si="1"/>
        <v>4.7336983132345328E-2</v>
      </c>
      <c r="U16" s="250"/>
      <c r="V16" s="250" t="s">
        <v>15</v>
      </c>
      <c r="W16" s="250" t="s">
        <v>14</v>
      </c>
      <c r="X16" s="250" t="s">
        <v>16</v>
      </c>
      <c r="Y16" s="250" t="s">
        <v>17</v>
      </c>
      <c r="Z16" s="250"/>
      <c r="AA16" s="250"/>
    </row>
    <row r="17" spans="1:27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6">
        <f>Data!D16</f>
        <v>18499069.230769232</v>
      </c>
      <c r="E17" s="186">
        <f>Data!E16</f>
        <v>4524363.9985999996</v>
      </c>
      <c r="F17" s="185">
        <f ca="1">Data!F16</f>
        <v>67521.217167707262</v>
      </c>
      <c r="G17" s="185">
        <f t="shared" ca="1" si="3"/>
        <v>18566590.447936941</v>
      </c>
      <c r="H17" s="196">
        <f>Data!U16</f>
        <v>267.8</v>
      </c>
      <c r="I17" s="187">
        <f>Data!X16</f>
        <v>15.7</v>
      </c>
      <c r="J17" s="225">
        <f t="shared" ca="1" si="6"/>
        <v>493.21999999999997</v>
      </c>
      <c r="K17" s="225">
        <f t="shared" ca="1" si="6"/>
        <v>1.5699999999999998</v>
      </c>
      <c r="L17" s="187">
        <f>Data!AG16</f>
        <v>31</v>
      </c>
      <c r="M17" s="187">
        <f>Data!AU16</f>
        <v>1</v>
      </c>
      <c r="N17" s="188">
        <f>Data!M16</f>
        <v>141.57517941177866</v>
      </c>
      <c r="O17" s="187">
        <f>Data!AX16</f>
        <v>15</v>
      </c>
      <c r="P17" s="189">
        <f>Data!K16</f>
        <v>11419.499999999998</v>
      </c>
      <c r="Q17" s="191"/>
      <c r="R17" s="190">
        <f t="shared" ca="1" si="5"/>
        <v>20405188.21569619</v>
      </c>
      <c r="S17" s="92">
        <f t="shared" ca="1" si="4"/>
        <v>1838597.7677592486</v>
      </c>
      <c r="T17" s="93">
        <f t="shared" ca="1" si="1"/>
        <v>9.9388663549684744E-2</v>
      </c>
      <c r="U17" s="50" t="s">
        <v>111</v>
      </c>
      <c r="V17" s="50">
        <v>-3168790.2170410501</v>
      </c>
      <c r="W17" s="50">
        <v>2603614.4407894099</v>
      </c>
      <c r="X17" s="50">
        <v>-1.2170735295508199</v>
      </c>
      <c r="Y17" s="251">
        <v>0.22608978093415399</v>
      </c>
      <c r="Z17" s="77"/>
      <c r="AA17" s="77"/>
    </row>
    <row r="18" spans="1:27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6">
        <f>Data!D17</f>
        <v>19946663.636363637</v>
      </c>
      <c r="E18" s="186">
        <f>Data!E17</f>
        <v>4020800.6875999994</v>
      </c>
      <c r="F18" s="185">
        <f ca="1">Data!F17</f>
        <v>75166.618705853616</v>
      </c>
      <c r="G18" s="185">
        <f t="shared" ca="1" si="3"/>
        <v>20021830.255069491</v>
      </c>
      <c r="H18" s="196">
        <f>Data!U17</f>
        <v>264.29999999999995</v>
      </c>
      <c r="I18" s="187">
        <f>Data!X17</f>
        <v>2.8999999999999986</v>
      </c>
      <c r="J18" s="225">
        <f t="shared" ca="1" si="6"/>
        <v>298.61</v>
      </c>
      <c r="K18" s="225">
        <f t="shared" ca="1" si="6"/>
        <v>1.4</v>
      </c>
      <c r="L18" s="187">
        <f>Data!AG17</f>
        <v>30</v>
      </c>
      <c r="M18" s="187">
        <f>Data!AU17</f>
        <v>1</v>
      </c>
      <c r="N18" s="188">
        <f>Data!M17</f>
        <v>141.74434622549956</v>
      </c>
      <c r="O18" s="187">
        <f>Data!AX17</f>
        <v>16</v>
      </c>
      <c r="P18" s="189">
        <f>Data!K17</f>
        <v>11424.666666666664</v>
      </c>
      <c r="Q18" s="191"/>
      <c r="R18" s="190">
        <f t="shared" ca="1" si="5"/>
        <v>20331278.9099041</v>
      </c>
      <c r="S18" s="92">
        <f t="shared" ca="1" si="4"/>
        <v>309448.65483460948</v>
      </c>
      <c r="T18" s="93">
        <f t="shared" ca="1" si="1"/>
        <v>1.5513805239612658E-2</v>
      </c>
      <c r="U18" s="50" t="s">
        <v>91</v>
      </c>
      <c r="V18" s="50">
        <v>11008.4512077372</v>
      </c>
      <c r="W18" s="50">
        <v>479.70895998512702</v>
      </c>
      <c r="X18" s="50">
        <v>22.948187601245699</v>
      </c>
      <c r="Y18" s="251">
        <v>1.51934008950765E-44</v>
      </c>
      <c r="Z18" s="77"/>
      <c r="AA18" s="77"/>
    </row>
    <row r="19" spans="1:27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6">
        <f>Data!D18</f>
        <v>18352863.636363637</v>
      </c>
      <c r="E19" s="186">
        <f>Data!E18</f>
        <v>3715365.5429000002</v>
      </c>
      <c r="F19" s="185">
        <f ca="1">Data!F18</f>
        <v>82812.02024399997</v>
      </c>
      <c r="G19" s="185">
        <f t="shared" ca="1" si="3"/>
        <v>18435675.656607635</v>
      </c>
      <c r="H19" s="196">
        <f>Data!U18</f>
        <v>50.400000000000006</v>
      </c>
      <c r="I19" s="187">
        <f>Data!X18</f>
        <v>86.6</v>
      </c>
      <c r="J19" s="225">
        <f t="shared" ca="1" si="6"/>
        <v>105.4</v>
      </c>
      <c r="K19" s="225">
        <f t="shared" ca="1" si="6"/>
        <v>59.319999999999993</v>
      </c>
      <c r="L19" s="187">
        <f>Data!AG18</f>
        <v>31</v>
      </c>
      <c r="M19" s="187">
        <f>Data!AU18</f>
        <v>1</v>
      </c>
      <c r="N19" s="188">
        <f>Data!M18</f>
        <v>141.91351303922045</v>
      </c>
      <c r="O19" s="187">
        <f>Data!AX18</f>
        <v>17</v>
      </c>
      <c r="P19" s="189">
        <f>Data!K18</f>
        <v>11429.83333333333</v>
      </c>
      <c r="Q19" s="191"/>
      <c r="R19" s="190">
        <f t="shared" ca="1" si="5"/>
        <v>17799876.719375975</v>
      </c>
      <c r="S19" s="92">
        <f t="shared" ca="1" si="4"/>
        <v>-635798.93723165989</v>
      </c>
      <c r="T19" s="93">
        <f t="shared" ca="1" si="1"/>
        <v>3.4643037175512655E-2</v>
      </c>
      <c r="U19" s="50" t="s">
        <v>94</v>
      </c>
      <c r="V19" s="50">
        <v>45500.870735234799</v>
      </c>
      <c r="W19" s="50">
        <v>1504.52684256919</v>
      </c>
      <c r="X19" s="50">
        <v>30.242644695880401</v>
      </c>
      <c r="Y19" s="251">
        <v>2.77127322118577E-56</v>
      </c>
      <c r="Z19" s="77"/>
      <c r="AA19" s="77"/>
    </row>
    <row r="20" spans="1:27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6">
        <f>Data!D19</f>
        <v>22640936.36363636</v>
      </c>
      <c r="E20" s="186">
        <f>Data!E19</f>
        <v>3836936.6406</v>
      </c>
      <c r="F20" s="185">
        <f ca="1">Data!F19</f>
        <v>90457.421782146324</v>
      </c>
      <c r="G20" s="185">
        <f t="shared" ca="1" si="3"/>
        <v>22731393.785418507</v>
      </c>
      <c r="H20" s="196">
        <f>Data!U19</f>
        <v>11.900000000000004</v>
      </c>
      <c r="I20" s="187">
        <f>Data!X19</f>
        <v>185.79999999999998</v>
      </c>
      <c r="J20" s="225">
        <f t="shared" ca="1" si="6"/>
        <v>12.239999999999998</v>
      </c>
      <c r="K20" s="225">
        <f t="shared" ca="1" si="6"/>
        <v>147.38999999999999</v>
      </c>
      <c r="L20" s="187">
        <f>Data!AG19</f>
        <v>30</v>
      </c>
      <c r="M20" s="187">
        <f>Data!AU19</f>
        <v>0</v>
      </c>
      <c r="N20" s="188">
        <f>Data!M19</f>
        <v>142.08267985294134</v>
      </c>
      <c r="O20" s="187">
        <f>Data!AX19</f>
        <v>18</v>
      </c>
      <c r="P20" s="189">
        <f>Data!K19</f>
        <v>11434.999999999996</v>
      </c>
      <c r="Q20" s="191"/>
      <c r="R20" s="190">
        <f t="shared" ca="1" si="5"/>
        <v>20987448.213888768</v>
      </c>
      <c r="S20" s="92">
        <f t="shared" ca="1" si="4"/>
        <v>-1743945.5715297386</v>
      </c>
      <c r="T20" s="93">
        <f t="shared" ca="1" si="1"/>
        <v>7.7026212322679907E-2</v>
      </c>
      <c r="U20" s="50" t="s">
        <v>134</v>
      </c>
      <c r="V20" s="50">
        <v>481702.55222776002</v>
      </c>
      <c r="W20" s="50">
        <v>72377.588840583194</v>
      </c>
      <c r="X20" s="50">
        <v>6.6554103272042404</v>
      </c>
      <c r="Y20" s="251">
        <v>1.0326653713756499E-9</v>
      </c>
      <c r="Z20" s="77"/>
      <c r="AA20" s="77"/>
    </row>
    <row r="21" spans="1:27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6">
        <f>Data!D20</f>
        <v>27569299.999999996</v>
      </c>
      <c r="E21" s="186">
        <f>Data!E20</f>
        <v>4801683.09</v>
      </c>
      <c r="F21" s="185">
        <f ca="1">Data!F20</f>
        <v>98102.823320292679</v>
      </c>
      <c r="G21" s="185">
        <f t="shared" ca="1" si="3"/>
        <v>27667402.823320288</v>
      </c>
      <c r="H21" s="196">
        <f>Data!U20</f>
        <v>0</v>
      </c>
      <c r="I21" s="187">
        <f>Data!X20</f>
        <v>279.8</v>
      </c>
      <c r="J21" s="225">
        <f t="shared" ca="1" si="6"/>
        <v>1.0100000000000002</v>
      </c>
      <c r="K21" s="225">
        <f t="shared" ca="1" si="6"/>
        <v>229.98999999999995</v>
      </c>
      <c r="L21" s="187">
        <f>Data!AG20</f>
        <v>31</v>
      </c>
      <c r="M21" s="187">
        <f>Data!AU20</f>
        <v>0</v>
      </c>
      <c r="N21" s="188">
        <f>Data!M20</f>
        <v>142.25184666666223</v>
      </c>
      <c r="O21" s="187">
        <f>Data!AX20</f>
        <v>19</v>
      </c>
      <c r="P21" s="189">
        <f>Data!K20</f>
        <v>11440.166666666662</v>
      </c>
      <c r="Q21" s="191"/>
      <c r="R21" s="190">
        <f t="shared" ca="1" si="5"/>
        <v>25412122.987718057</v>
      </c>
      <c r="S21" s="92">
        <f t="shared" ca="1" si="4"/>
        <v>-2255279.8356022313</v>
      </c>
      <c r="T21" s="93">
        <f t="shared" ca="1" si="1"/>
        <v>8.1804029685274254E-2</v>
      </c>
      <c r="U21" s="50" t="s">
        <v>131</v>
      </c>
      <c r="V21" s="50">
        <v>-614549.45463094697</v>
      </c>
      <c r="W21" s="50">
        <v>200224.083742811</v>
      </c>
      <c r="X21" s="50">
        <v>-3.0693083626260398</v>
      </c>
      <c r="Y21" s="251">
        <v>2.6817569832331299E-3</v>
      </c>
      <c r="Z21" s="77"/>
      <c r="AA21" s="77"/>
    </row>
    <row r="22" spans="1:27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6">
        <f>Data!D21</f>
        <v>23505663.636363633</v>
      </c>
      <c r="E22" s="186">
        <f>Data!E21</f>
        <v>6167729.818</v>
      </c>
      <c r="F22" s="185">
        <f ca="1">Data!F21</f>
        <v>105748.22485843903</v>
      </c>
      <c r="G22" s="185">
        <f t="shared" ca="1" si="3"/>
        <v>23611411.861222073</v>
      </c>
      <c r="H22" s="196">
        <f>Data!U21</f>
        <v>0.60000000000000142</v>
      </c>
      <c r="I22" s="187">
        <f>Data!X21</f>
        <v>193.19999999999996</v>
      </c>
      <c r="J22" s="225">
        <f t="shared" ca="1" si="6"/>
        <v>2.3899999999999997</v>
      </c>
      <c r="K22" s="225">
        <f t="shared" ca="1" si="6"/>
        <v>185.42</v>
      </c>
      <c r="L22" s="187">
        <f>Data!AG21</f>
        <v>31</v>
      </c>
      <c r="M22" s="187">
        <f>Data!AU21</f>
        <v>0</v>
      </c>
      <c r="N22" s="188">
        <f>Data!M21</f>
        <v>142.42101348038312</v>
      </c>
      <c r="O22" s="187">
        <f>Data!AX21</f>
        <v>20</v>
      </c>
      <c r="P22" s="189">
        <f>Data!K21</f>
        <v>11445.333333333328</v>
      </c>
      <c r="Q22" s="191"/>
      <c r="R22" s="190">
        <f t="shared" ca="1" si="5"/>
        <v>23277120.214563798</v>
      </c>
      <c r="S22" s="92">
        <f t="shared" ca="1" si="4"/>
        <v>-334291.64665827528</v>
      </c>
      <c r="T22" s="93">
        <f t="shared" ca="1" si="1"/>
        <v>1.422174892952696E-2</v>
      </c>
      <c r="U22" s="50" t="s">
        <v>138</v>
      </c>
      <c r="V22" s="50">
        <v>25482.579150373898</v>
      </c>
      <c r="W22" s="50">
        <v>9966.9343805222597</v>
      </c>
      <c r="X22" s="50">
        <v>2.5567118411226701</v>
      </c>
      <c r="Y22" s="50">
        <v>1.18809563493488E-2</v>
      </c>
      <c r="Z22" s="77"/>
      <c r="AA22" s="77"/>
    </row>
    <row r="23" spans="1:27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6">
        <f>Data!D22</f>
        <v>18912418.18181818</v>
      </c>
      <c r="E23" s="186">
        <f>Data!E22</f>
        <v>5144563.318</v>
      </c>
      <c r="F23" s="185">
        <f ca="1">Data!F22</f>
        <v>113393.62639658539</v>
      </c>
      <c r="G23" s="185">
        <f t="shared" ca="1" si="3"/>
        <v>19025811.808214765</v>
      </c>
      <c r="H23" s="196">
        <f>Data!U22</f>
        <v>59.599999999999994</v>
      </c>
      <c r="I23" s="187">
        <f>Data!X22</f>
        <v>79.5</v>
      </c>
      <c r="J23" s="225">
        <f t="shared" ca="1" si="6"/>
        <v>45.749999999999993</v>
      </c>
      <c r="K23" s="225">
        <f t="shared" ca="1" si="6"/>
        <v>88.07</v>
      </c>
      <c r="L23" s="187">
        <f>Data!AG22</f>
        <v>30</v>
      </c>
      <c r="M23" s="187">
        <f>Data!AU22</f>
        <v>0</v>
      </c>
      <c r="N23" s="188">
        <f>Data!M22</f>
        <v>142.59018029410402</v>
      </c>
      <c r="O23" s="187">
        <f>Data!AX22</f>
        <v>21</v>
      </c>
      <c r="P23" s="189">
        <f>Data!K22</f>
        <v>11450.499999999995</v>
      </c>
      <c r="Q23" s="191"/>
      <c r="R23" s="190">
        <f t="shared" ca="1" si="5"/>
        <v>19263287.221188568</v>
      </c>
      <c r="S23" s="92">
        <f t="shared" ca="1" si="4"/>
        <v>237475.41297380254</v>
      </c>
      <c r="T23" s="93">
        <f t="shared" ca="1" si="1"/>
        <v>1.2556586402161101E-2</v>
      </c>
      <c r="U23" s="52"/>
      <c r="V23" s="50"/>
      <c r="W23" s="50"/>
      <c r="X23" s="50"/>
      <c r="Y23" s="50"/>
      <c r="Z23" s="50"/>
      <c r="AA23" s="50"/>
    </row>
    <row r="24" spans="1:27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6">
        <f>Data!D23</f>
        <v>17381318.18181818</v>
      </c>
      <c r="E24" s="186">
        <f>Data!E23</f>
        <v>4109515.5469999998</v>
      </c>
      <c r="F24" s="185">
        <f ca="1">Data!F23</f>
        <v>121039.02793473174</v>
      </c>
      <c r="G24" s="185">
        <f t="shared" ca="1" si="3"/>
        <v>17502357.20975291</v>
      </c>
      <c r="H24" s="196">
        <f>Data!U23</f>
        <v>205.90000000000003</v>
      </c>
      <c r="I24" s="187">
        <f>Data!X23</f>
        <v>16.000000000000004</v>
      </c>
      <c r="J24" s="225">
        <f t="shared" ca="1" si="6"/>
        <v>200.71</v>
      </c>
      <c r="K24" s="225">
        <f t="shared" ca="1" si="6"/>
        <v>17.57</v>
      </c>
      <c r="L24" s="187">
        <f>Data!AG23</f>
        <v>31</v>
      </c>
      <c r="M24" s="187">
        <f>Data!AU23</f>
        <v>0</v>
      </c>
      <c r="N24" s="188">
        <f>Data!M23</f>
        <v>142.75934710782491</v>
      </c>
      <c r="O24" s="187">
        <f>Data!AX23</f>
        <v>22</v>
      </c>
      <c r="P24" s="189">
        <f>Data!K23</f>
        <v>11455.666666666661</v>
      </c>
      <c r="Q24" s="191"/>
      <c r="R24" s="190">
        <f t="shared" ca="1" si="5"/>
        <v>17516659.715039071</v>
      </c>
      <c r="S24" s="92">
        <f t="shared" ca="1" si="4"/>
        <v>14302.505286160856</v>
      </c>
      <c r="T24" s="93">
        <f t="shared" ca="1" si="1"/>
        <v>8.2286654766622173E-4</v>
      </c>
      <c r="U24" s="50"/>
      <c r="V24" s="50"/>
      <c r="W24" s="50"/>
      <c r="X24" s="50"/>
      <c r="Y24" s="50"/>
      <c r="Z24" s="50"/>
      <c r="AA24" s="50"/>
    </row>
    <row r="25" spans="1:27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6">
        <f>Data!D24</f>
        <v>18308972.727272727</v>
      </c>
      <c r="E25" s="186">
        <f>Data!E24</f>
        <v>3700252.9467000002</v>
      </c>
      <c r="F25" s="185">
        <f ca="1">Data!F24</f>
        <v>128684.4294728781</v>
      </c>
      <c r="G25" s="185">
        <f t="shared" ca="1" si="3"/>
        <v>18437657.156745605</v>
      </c>
      <c r="H25" s="196">
        <f>Data!U24</f>
        <v>407.2</v>
      </c>
      <c r="I25" s="187">
        <f>Data!X24</f>
        <v>0</v>
      </c>
      <c r="J25" s="225">
        <f t="shared" ca="1" si="6"/>
        <v>400.69</v>
      </c>
      <c r="K25" s="225">
        <f t="shared" ca="1" si="6"/>
        <v>0.43999999999999984</v>
      </c>
      <c r="L25" s="187">
        <f>Data!AG24</f>
        <v>30</v>
      </c>
      <c r="M25" s="187">
        <f>Data!AU24</f>
        <v>0</v>
      </c>
      <c r="N25" s="188">
        <f>Data!M24</f>
        <v>142.9285139215458</v>
      </c>
      <c r="O25" s="187">
        <f>Data!AX24</f>
        <v>23</v>
      </c>
      <c r="P25" s="189">
        <f>Data!K24</f>
        <v>11460.833333333327</v>
      </c>
      <c r="Q25" s="191"/>
      <c r="R25" s="190">
        <f t="shared" ca="1" si="5"/>
        <v>18386012.52250674</v>
      </c>
      <c r="S25" s="92">
        <f t="shared" ca="1" si="4"/>
        <v>-51644.634238865227</v>
      </c>
      <c r="T25" s="93">
        <f t="shared" ca="1" si="1"/>
        <v>2.8207281210232116E-3</v>
      </c>
      <c r="U25" s="50" t="s">
        <v>114</v>
      </c>
      <c r="V25" s="50"/>
      <c r="W25" s="50"/>
      <c r="X25" s="50"/>
      <c r="Y25" s="50"/>
      <c r="Z25" s="50"/>
      <c r="AA25" s="50"/>
    </row>
    <row r="26" spans="1:27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6">
        <f>Data!D25</f>
        <v>20133590.90909091</v>
      </c>
      <c r="E26" s="186">
        <f>Data!E25</f>
        <v>3952350.1461</v>
      </c>
      <c r="F26" s="185">
        <f ca="1">Data!F25</f>
        <v>136329.83101102445</v>
      </c>
      <c r="G26" s="185">
        <f t="shared" ca="1" si="3"/>
        <v>20269920.740101933</v>
      </c>
      <c r="H26" s="196">
        <f>Data!U25</f>
        <v>495.99999999999994</v>
      </c>
      <c r="I26" s="187">
        <f>Data!X25</f>
        <v>0</v>
      </c>
      <c r="J26" s="225">
        <f t="shared" ca="1" si="6"/>
        <v>549.42000000000007</v>
      </c>
      <c r="K26" s="225">
        <f t="shared" ca="1" si="6"/>
        <v>0</v>
      </c>
      <c r="L26" s="187">
        <f>Data!AG25</f>
        <v>31</v>
      </c>
      <c r="M26" s="187">
        <f>Data!AU25</f>
        <v>0</v>
      </c>
      <c r="N26" s="188">
        <f>Data!M25</f>
        <v>143.09768073526669</v>
      </c>
      <c r="O26" s="187">
        <f>Data!AX25</f>
        <v>24</v>
      </c>
      <c r="P26" s="189">
        <f>Data!K25</f>
        <v>11497</v>
      </c>
      <c r="Q26" s="191"/>
      <c r="R26" s="190">
        <f t="shared" ca="1" si="5"/>
        <v>20857992.203619257</v>
      </c>
      <c r="S26" s="92">
        <f t="shared" ca="1" si="4"/>
        <v>588071.46351732314</v>
      </c>
      <c r="T26" s="93">
        <f t="shared" ca="1" si="1"/>
        <v>2.9208473847146241E-2</v>
      </c>
      <c r="U26" s="50" t="s">
        <v>115</v>
      </c>
      <c r="V26" s="50">
        <v>21107669.826609399</v>
      </c>
      <c r="W26" s="50" t="s">
        <v>116</v>
      </c>
      <c r="X26" s="50">
        <v>2669499.31533268</v>
      </c>
      <c r="Y26" s="50"/>
      <c r="Z26" s="50"/>
      <c r="AA26" s="50"/>
    </row>
    <row r="27" spans="1:27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6">
        <f>Data!D26</f>
        <v>23386699.999999996</v>
      </c>
      <c r="E27" s="186">
        <f>Data!E26</f>
        <v>4815275.5839999998</v>
      </c>
      <c r="F27" s="185">
        <f ca="1">Data!F26</f>
        <v>148142.84654301283</v>
      </c>
      <c r="G27" s="185">
        <f t="shared" ca="1" si="3"/>
        <v>23534842.84654301</v>
      </c>
      <c r="H27" s="196">
        <f>Data!U26</f>
        <v>613.5</v>
      </c>
      <c r="I27" s="187">
        <f>Data!X26</f>
        <v>0</v>
      </c>
      <c r="J27" s="225">
        <f t="shared" ca="1" si="6"/>
        <v>671.55</v>
      </c>
      <c r="K27" s="225">
        <f t="shared" ca="1" si="6"/>
        <v>0</v>
      </c>
      <c r="L27" s="187">
        <f>Data!AG26</f>
        <v>31</v>
      </c>
      <c r="M27" s="187">
        <f>Data!AU26</f>
        <v>0</v>
      </c>
      <c r="N27" s="188">
        <f>Data!M26</f>
        <v>143.26657147018994</v>
      </c>
      <c r="O27" s="187">
        <f>Data!AX26</f>
        <v>25</v>
      </c>
      <c r="P27" s="189">
        <f>Data!K26</f>
        <v>11505.083333333334</v>
      </c>
      <c r="Q27" s="191"/>
      <c r="R27" s="190">
        <f t="shared" ca="1" si="5"/>
        <v>24173883.439152155</v>
      </c>
      <c r="S27" s="92">
        <f t="shared" ca="1" si="4"/>
        <v>639040.59260914475</v>
      </c>
      <c r="T27" s="93">
        <f t="shared" ca="1" si="1"/>
        <v>2.7324957886711031E-2</v>
      </c>
      <c r="U27" s="50" t="s">
        <v>117</v>
      </c>
      <c r="V27" s="50">
        <v>52621478883136</v>
      </c>
      <c r="W27" s="50" t="s">
        <v>118</v>
      </c>
      <c r="X27" s="251">
        <v>679405.56373016897</v>
      </c>
      <c r="Y27" s="50"/>
      <c r="Z27" s="50"/>
      <c r="AA27" s="50"/>
    </row>
    <row r="28" spans="1:27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6">
        <f>Data!D27</f>
        <v>21170572.727272727</v>
      </c>
      <c r="E28" s="186">
        <f>Data!E27</f>
        <v>5121922.8539999994</v>
      </c>
      <c r="F28" s="185">
        <f ca="1">Data!F27</f>
        <v>152310.46053685484</v>
      </c>
      <c r="G28" s="185">
        <f t="shared" ca="1" si="3"/>
        <v>21322883.187809583</v>
      </c>
      <c r="H28" s="196">
        <f>Data!U27</f>
        <v>590.79999999999995</v>
      </c>
      <c r="I28" s="187">
        <f>Data!X27</f>
        <v>0</v>
      </c>
      <c r="J28" s="225">
        <f t="shared" ca="1" si="6"/>
        <v>591.43000000000006</v>
      </c>
      <c r="K28" s="225">
        <f t="shared" ca="1" si="6"/>
        <v>0</v>
      </c>
      <c r="L28" s="187">
        <f>Data!AG27</f>
        <v>28</v>
      </c>
      <c r="M28" s="187">
        <f>Data!AU27</f>
        <v>0</v>
      </c>
      <c r="N28" s="188">
        <f>Data!M27</f>
        <v>143.4354622051132</v>
      </c>
      <c r="O28" s="187">
        <f>Data!AX27</f>
        <v>26</v>
      </c>
      <c r="P28" s="189">
        <f>Data!K27</f>
        <v>11513.166666666668</v>
      </c>
      <c r="Q28" s="191"/>
      <c r="R28" s="190">
        <f t="shared" ca="1" si="5"/>
        <v>21329818.512070458</v>
      </c>
      <c r="S28" s="92">
        <f t="shared" ca="1" si="4"/>
        <v>6935.3242608755827</v>
      </c>
      <c r="T28" s="93">
        <f t="shared" ca="1" si="1"/>
        <v>3.275926612954234E-4</v>
      </c>
      <c r="U28" s="50" t="s">
        <v>119</v>
      </c>
      <c r="V28" s="50">
        <v>0.93863458532288102</v>
      </c>
      <c r="W28" s="50" t="s">
        <v>120</v>
      </c>
      <c r="X28" s="251">
        <v>0.93594311976686695</v>
      </c>
      <c r="Y28" s="50"/>
      <c r="Z28" s="50"/>
      <c r="AA28" s="50"/>
    </row>
    <row r="29" spans="1:27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6">
        <f>Data!D28</f>
        <v>21583554.545454543</v>
      </c>
      <c r="E29" s="186">
        <f>Data!E28</f>
        <v>4664194.591599999</v>
      </c>
      <c r="F29" s="185">
        <f ca="1">Data!F28</f>
        <v>156478.07453069682</v>
      </c>
      <c r="G29" s="185">
        <f t="shared" ca="1" si="3"/>
        <v>21740032.619985241</v>
      </c>
      <c r="H29" s="196">
        <f>Data!U28</f>
        <v>524.20000000000016</v>
      </c>
      <c r="I29" s="187">
        <f>Data!X28</f>
        <v>0</v>
      </c>
      <c r="J29" s="225">
        <f t="shared" ca="1" si="6"/>
        <v>493.21999999999997</v>
      </c>
      <c r="K29" s="225">
        <f t="shared" ca="1" si="6"/>
        <v>1.5699999999999998</v>
      </c>
      <c r="L29" s="187">
        <f>Data!AG28</f>
        <v>31</v>
      </c>
      <c r="M29" s="187">
        <f>Data!AU28</f>
        <v>1</v>
      </c>
      <c r="N29" s="188">
        <f>Data!M28</f>
        <v>143.60435294003645</v>
      </c>
      <c r="O29" s="187">
        <f>Data!AX28</f>
        <v>27</v>
      </c>
      <c r="P29" s="189">
        <f>Data!K28</f>
        <v>11521.250000000002</v>
      </c>
      <c r="Q29" s="191"/>
      <c r="R29" s="190">
        <f t="shared" ca="1" si="5"/>
        <v>21470427.168623857</v>
      </c>
      <c r="S29" s="92">
        <f t="shared" ca="1" si="4"/>
        <v>-269605.45136138424</v>
      </c>
      <c r="T29" s="93">
        <f t="shared" ca="1" si="1"/>
        <v>1.2491244238459445E-2</v>
      </c>
      <c r="U29" s="50" t="s">
        <v>174</v>
      </c>
      <c r="V29" s="50">
        <v>302.10666854891201</v>
      </c>
      <c r="W29" s="50" t="s">
        <v>122</v>
      </c>
      <c r="X29" s="251">
        <v>5.1261610690993001E-64</v>
      </c>
      <c r="Y29" s="50"/>
      <c r="Z29" s="50"/>
      <c r="AA29" s="50"/>
    </row>
    <row r="30" spans="1:27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6">
        <f>Data!D29</f>
        <v>19125345.454545453</v>
      </c>
      <c r="E30" s="186">
        <f>Data!E29</f>
        <v>4705233.0269999998</v>
      </c>
      <c r="F30" s="185">
        <f ca="1">Data!F29</f>
        <v>160645.68852453883</v>
      </c>
      <c r="G30" s="185">
        <f t="shared" ca="1" si="3"/>
        <v>19285991.143069994</v>
      </c>
      <c r="H30" s="196">
        <f>Data!U29</f>
        <v>318.29999999999995</v>
      </c>
      <c r="I30" s="187">
        <f>Data!X29</f>
        <v>0.80000000000000071</v>
      </c>
      <c r="J30" s="225">
        <f t="shared" ca="1" si="6"/>
        <v>298.61</v>
      </c>
      <c r="K30" s="225">
        <f t="shared" ca="1" si="6"/>
        <v>1.4</v>
      </c>
      <c r="L30" s="187">
        <f>Data!AG29</f>
        <v>30</v>
      </c>
      <c r="M30" s="187">
        <f>Data!AU29</f>
        <v>1</v>
      </c>
      <c r="N30" s="188">
        <f>Data!M29</f>
        <v>143.7732436749597</v>
      </c>
      <c r="O30" s="187">
        <f>Data!AX29</f>
        <v>28</v>
      </c>
      <c r="P30" s="189">
        <f>Data!K29</f>
        <v>11529.333333333336</v>
      </c>
      <c r="Q30" s="191"/>
      <c r="R30" s="190">
        <f t="shared" ca="1" si="5"/>
        <v>19096535.261230789</v>
      </c>
      <c r="S30" s="92">
        <f t="shared" ca="1" si="4"/>
        <v>-189455.88183920458</v>
      </c>
      <c r="T30" s="93">
        <f t="shared" ca="1" si="1"/>
        <v>9.9060109679837069E-3</v>
      </c>
      <c r="U30" s="50" t="s">
        <v>123</v>
      </c>
      <c r="V30" s="50">
        <v>3.14586288004228E-2</v>
      </c>
      <c r="W30" s="50" t="s">
        <v>124</v>
      </c>
      <c r="X30" s="251">
        <v>1.9365572388868</v>
      </c>
      <c r="Y30" s="50"/>
      <c r="Z30" s="50"/>
      <c r="AA30" s="50"/>
    </row>
    <row r="31" spans="1:27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6">
        <f>Data!D30</f>
        <v>17617625.000000004</v>
      </c>
      <c r="E31" s="186">
        <f>Data!E30</f>
        <v>3915508.8012999999</v>
      </c>
      <c r="F31" s="185">
        <f ca="1">Data!F30</f>
        <v>164813.30251838083</v>
      </c>
      <c r="G31" s="185">
        <f t="shared" ca="1" si="3"/>
        <v>17782438.302518386</v>
      </c>
      <c r="H31" s="196">
        <f>Data!U30</f>
        <v>83.3</v>
      </c>
      <c r="I31" s="187">
        <f>Data!X30</f>
        <v>84.7</v>
      </c>
      <c r="J31" s="225">
        <f t="shared" ca="1" si="6"/>
        <v>105.4</v>
      </c>
      <c r="K31" s="225">
        <f t="shared" ca="1" si="6"/>
        <v>59.319999999999993</v>
      </c>
      <c r="L31" s="187">
        <f>Data!AG30</f>
        <v>31</v>
      </c>
      <c r="M31" s="187">
        <f>Data!AU30</f>
        <v>1</v>
      </c>
      <c r="N31" s="188">
        <f>Data!M30</f>
        <v>143.94213440988295</v>
      </c>
      <c r="O31" s="187">
        <f>Data!AX30</f>
        <v>29</v>
      </c>
      <c r="P31" s="189">
        <f>Data!K30</f>
        <v>11537.41666666667</v>
      </c>
      <c r="Q31" s="191"/>
      <c r="R31" s="190">
        <f t="shared" ca="1" si="5"/>
        <v>16870912.974949118</v>
      </c>
      <c r="S31" s="92">
        <f t="shared" ca="1" si="4"/>
        <v>-911525.32756926864</v>
      </c>
      <c r="T31" s="93">
        <f t="shared" ca="1" si="1"/>
        <v>5.1739398901342742E-2</v>
      </c>
      <c r="U31" s="50"/>
      <c r="V31" s="50"/>
      <c r="W31" s="50"/>
      <c r="X31" s="50"/>
      <c r="Y31" s="50"/>
      <c r="Z31" s="50"/>
      <c r="AA31" s="50"/>
    </row>
    <row r="32" spans="1:27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6">
        <f>Data!D31</f>
        <v>19936866.666666668</v>
      </c>
      <c r="E32" s="186">
        <f>Data!E31</f>
        <v>3645317.7157999999</v>
      </c>
      <c r="F32" s="185">
        <f ca="1">Data!F31</f>
        <v>168980.91651222284</v>
      </c>
      <c r="G32" s="185">
        <f t="shared" ca="1" si="3"/>
        <v>20105847.583178889</v>
      </c>
      <c r="H32" s="196">
        <f>Data!U31</f>
        <v>18.200000000000003</v>
      </c>
      <c r="I32" s="187">
        <f>Data!X31</f>
        <v>133.49999999999997</v>
      </c>
      <c r="J32" s="225">
        <f t="shared" ca="1" si="6"/>
        <v>12.239999999999998</v>
      </c>
      <c r="K32" s="225">
        <f t="shared" ca="1" si="6"/>
        <v>147.38999999999999</v>
      </c>
      <c r="L32" s="187">
        <f>Data!AG31</f>
        <v>30</v>
      </c>
      <c r="M32" s="187">
        <f>Data!AU31</f>
        <v>0</v>
      </c>
      <c r="N32" s="188">
        <f>Data!M31</f>
        <v>144.11102514480621</v>
      </c>
      <c r="O32" s="187">
        <f>Data!AX31</f>
        <v>30</v>
      </c>
      <c r="P32" s="189">
        <f>Data!K31</f>
        <v>11545.500000000004</v>
      </c>
      <c r="Q32" s="191"/>
      <c r="R32" s="190">
        <f t="shared" ca="1" si="5"/>
        <v>20672244.308493186</v>
      </c>
      <c r="S32" s="92">
        <f t="shared" ca="1" si="4"/>
        <v>566396.72531429678</v>
      </c>
      <c r="T32" s="93">
        <f t="shared" ca="1" si="1"/>
        <v>2.8409515636741486E-2</v>
      </c>
      <c r="U32" s="50"/>
      <c r="V32" s="50"/>
      <c r="W32" s="50"/>
      <c r="X32" s="50"/>
      <c r="Y32" s="251"/>
      <c r="Z32" s="50"/>
      <c r="AA32" s="50"/>
    </row>
    <row r="33" spans="1:25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6">
        <f>Data!D32</f>
        <v>23686275</v>
      </c>
      <c r="E33" s="186">
        <f>Data!E32</f>
        <v>4244297.978099999</v>
      </c>
      <c r="F33" s="185">
        <f ca="1">Data!F32</f>
        <v>173148.53050606482</v>
      </c>
      <c r="G33" s="185">
        <f t="shared" ca="1" si="3"/>
        <v>23859423.530506063</v>
      </c>
      <c r="H33" s="196">
        <f>Data!U32</f>
        <v>2.6000000000000014</v>
      </c>
      <c r="I33" s="187">
        <f>Data!X32</f>
        <v>208.19999999999993</v>
      </c>
      <c r="J33" s="225">
        <f t="shared" ca="1" si="6"/>
        <v>1.0100000000000002</v>
      </c>
      <c r="K33" s="225">
        <f t="shared" ca="1" si="6"/>
        <v>229.98999999999995</v>
      </c>
      <c r="L33" s="187">
        <f>Data!AG32</f>
        <v>31</v>
      </c>
      <c r="M33" s="187">
        <f>Data!AU32</f>
        <v>0</v>
      </c>
      <c r="N33" s="188">
        <f>Data!M32</f>
        <v>144.27991587972946</v>
      </c>
      <c r="O33" s="187">
        <f>Data!AX32</f>
        <v>31</v>
      </c>
      <c r="P33" s="189">
        <f>Data!K32</f>
        <v>11553.583333333338</v>
      </c>
      <c r="Q33" s="191"/>
      <c r="R33" s="190">
        <f t="shared" ca="1" si="5"/>
        <v>24833384.066406529</v>
      </c>
      <c r="S33" s="92">
        <f t="shared" ca="1" si="4"/>
        <v>973960.53590046614</v>
      </c>
      <c r="T33" s="93">
        <f t="shared" ca="1" si="1"/>
        <v>4.1119193959390662E-2</v>
      </c>
      <c r="U33"/>
      <c r="Y33" s="184"/>
    </row>
    <row r="34" spans="1:25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6">
        <f>Data!D33</f>
        <v>22403900.000000004</v>
      </c>
      <c r="E34" s="186">
        <f>Data!E33</f>
        <v>5299604.6619999995</v>
      </c>
      <c r="F34" s="185">
        <f ca="1">Data!F33</f>
        <v>177316.14449990683</v>
      </c>
      <c r="G34" s="185">
        <f t="shared" ca="1" si="3"/>
        <v>22581216.144499909</v>
      </c>
      <c r="H34" s="196">
        <f>Data!U33</f>
        <v>3.9000000000000021</v>
      </c>
      <c r="I34" s="187">
        <f>Data!X33</f>
        <v>173.40000000000003</v>
      </c>
      <c r="J34" s="225">
        <f t="shared" ca="1" si="6"/>
        <v>2.3899999999999997</v>
      </c>
      <c r="K34" s="225">
        <f t="shared" ca="1" si="6"/>
        <v>185.42</v>
      </c>
      <c r="L34" s="187">
        <f>Data!AG33</f>
        <v>31</v>
      </c>
      <c r="M34" s="187">
        <f>Data!AU33</f>
        <v>0</v>
      </c>
      <c r="N34" s="188">
        <f>Data!M33</f>
        <v>144.44880661465271</v>
      </c>
      <c r="O34" s="187">
        <f>Data!AX33</f>
        <v>32</v>
      </c>
      <c r="P34" s="189">
        <f>Data!K33</f>
        <v>11561.666666666672</v>
      </c>
      <c r="Q34" s="191"/>
      <c r="R34" s="190">
        <f t="shared" ca="1" si="5"/>
        <v>23111513.849413745</v>
      </c>
      <c r="S34" s="92">
        <f t="shared" ca="1" si="4"/>
        <v>530297.70491383597</v>
      </c>
      <c r="T34" s="93">
        <f t="shared" ca="1" si="1"/>
        <v>2.3669883587850146E-2</v>
      </c>
      <c r="U34"/>
      <c r="Y34" s="184"/>
    </row>
    <row r="35" spans="1:25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6">
        <f>Data!D34</f>
        <v>18880325</v>
      </c>
      <c r="E35" s="186">
        <f>Data!E34</f>
        <v>4825504.0060000001</v>
      </c>
      <c r="F35" s="185">
        <f ca="1">Data!F34</f>
        <v>181483.75849374884</v>
      </c>
      <c r="G35" s="185">
        <f t="shared" ca="1" si="3"/>
        <v>19061808.758493748</v>
      </c>
      <c r="H35" s="196">
        <f>Data!U34</f>
        <v>53.7</v>
      </c>
      <c r="I35" s="187">
        <f>Data!X34</f>
        <v>78.100000000000009</v>
      </c>
      <c r="J35" s="225">
        <f t="shared" ref="J35:K54" ca="1" si="7">J23</f>
        <v>45.749999999999993</v>
      </c>
      <c r="K35" s="225">
        <f t="shared" ca="1" si="7"/>
        <v>88.07</v>
      </c>
      <c r="L35" s="187">
        <f>Data!AG34</f>
        <v>30</v>
      </c>
      <c r="M35" s="187">
        <f>Data!AU34</f>
        <v>0</v>
      </c>
      <c r="N35" s="188">
        <f>Data!M34</f>
        <v>144.61769734957596</v>
      </c>
      <c r="O35" s="187">
        <f>Data!AX34</f>
        <v>33</v>
      </c>
      <c r="P35" s="189">
        <f>Data!K34</f>
        <v>11569.750000000005</v>
      </c>
      <c r="Q35" s="191"/>
      <c r="R35" s="190">
        <f t="shared" ca="1" si="5"/>
        <v>19427935.25262253</v>
      </c>
      <c r="S35" s="92">
        <f t="shared" ca="1" si="4"/>
        <v>366126.4941287823</v>
      </c>
      <c r="T35" s="93">
        <f t="shared" ca="1" si="1"/>
        <v>1.9391959308369018E-2</v>
      </c>
      <c r="U35"/>
      <c r="Y35" s="184"/>
    </row>
    <row r="36" spans="1:25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6">
        <f>Data!D35</f>
        <v>18114283.333333336</v>
      </c>
      <c r="E36" s="186">
        <f>Data!E35</f>
        <v>3980625.1063999999</v>
      </c>
      <c r="F36" s="185">
        <f ca="1">Data!F35</f>
        <v>185651.37248759085</v>
      </c>
      <c r="G36" s="185">
        <f t="shared" ca="1" si="3"/>
        <v>18299934.705820926</v>
      </c>
      <c r="H36" s="196">
        <f>Data!U35</f>
        <v>187.09999999999997</v>
      </c>
      <c r="I36" s="187">
        <f>Data!X35</f>
        <v>26.599999999999998</v>
      </c>
      <c r="J36" s="225">
        <f t="shared" ca="1" si="7"/>
        <v>200.71</v>
      </c>
      <c r="K36" s="225">
        <f t="shared" ca="1" si="7"/>
        <v>17.57</v>
      </c>
      <c r="L36" s="187">
        <f>Data!AG35</f>
        <v>31</v>
      </c>
      <c r="M36" s="187">
        <f>Data!AU35</f>
        <v>0</v>
      </c>
      <c r="N36" s="188">
        <f>Data!M35</f>
        <v>144.78658808449921</v>
      </c>
      <c r="O36" s="187">
        <f>Data!AX35</f>
        <v>34</v>
      </c>
      <c r="P36" s="189">
        <f>Data!K35</f>
        <v>11577.833333333339</v>
      </c>
      <c r="Q36" s="191"/>
      <c r="R36" s="190">
        <f t="shared" ca="1" si="5"/>
        <v>18038886.864019059</v>
      </c>
      <c r="S36" s="92">
        <f t="shared" ca="1" si="4"/>
        <v>-261047.84180186689</v>
      </c>
      <c r="T36" s="93">
        <f t="shared" ca="1" si="1"/>
        <v>1.4411160353304999E-2</v>
      </c>
      <c r="U36"/>
      <c r="Y36" s="184"/>
    </row>
    <row r="37" spans="1:25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6">
        <f>Data!D36</f>
        <v>19414258.333333336</v>
      </c>
      <c r="E37" s="186">
        <f>Data!E36</f>
        <v>3873271.5369000002</v>
      </c>
      <c r="F37" s="185">
        <f ca="1">Data!F36</f>
        <v>189818.98648143286</v>
      </c>
      <c r="G37" s="185">
        <f t="shared" ca="1" si="3"/>
        <v>19604077.319814768</v>
      </c>
      <c r="H37" s="196">
        <f>Data!U36</f>
        <v>442.7</v>
      </c>
      <c r="I37" s="187">
        <f>Data!X36</f>
        <v>0</v>
      </c>
      <c r="J37" s="225">
        <f t="shared" ca="1" si="7"/>
        <v>400.69</v>
      </c>
      <c r="K37" s="225">
        <f t="shared" ca="1" si="7"/>
        <v>0.43999999999999984</v>
      </c>
      <c r="L37" s="187">
        <f>Data!AG36</f>
        <v>30</v>
      </c>
      <c r="M37" s="187">
        <f>Data!AU36</f>
        <v>0</v>
      </c>
      <c r="N37" s="188">
        <f>Data!M36</f>
        <v>144.95547881942247</v>
      </c>
      <c r="O37" s="187">
        <f>Data!AX36</f>
        <v>35</v>
      </c>
      <c r="P37" s="189">
        <f>Data!K36</f>
        <v>11585.916666666673</v>
      </c>
      <c r="Q37" s="191"/>
      <c r="R37" s="190">
        <f t="shared" ca="1" si="5"/>
        <v>19161632.667701229</v>
      </c>
      <c r="S37" s="92">
        <f t="shared" ca="1" si="4"/>
        <v>-442444.65211353824</v>
      </c>
      <c r="T37" s="93">
        <f t="shared" ca="1" si="1"/>
        <v>2.2789675738160046E-2</v>
      </c>
      <c r="U37"/>
    </row>
    <row r="38" spans="1:25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6">
        <f>Data!D37</f>
        <v>22361725</v>
      </c>
      <c r="E38" s="186">
        <f>Data!E37</f>
        <v>4755196.7389000002</v>
      </c>
      <c r="F38" s="185">
        <f ca="1">Data!F37</f>
        <v>193986.60047527484</v>
      </c>
      <c r="G38" s="185">
        <f t="shared" ca="1" si="3"/>
        <v>22555711.600475274</v>
      </c>
      <c r="H38" s="196">
        <f>Data!U37</f>
        <v>635.79999999999995</v>
      </c>
      <c r="I38" s="187">
        <f>Data!X37</f>
        <v>0</v>
      </c>
      <c r="J38" s="225">
        <f t="shared" ca="1" si="7"/>
        <v>549.42000000000007</v>
      </c>
      <c r="K38" s="225">
        <f t="shared" ca="1" si="7"/>
        <v>0</v>
      </c>
      <c r="L38" s="187">
        <f>Data!AG37</f>
        <v>31</v>
      </c>
      <c r="M38" s="187">
        <f>Data!AU37</f>
        <v>0</v>
      </c>
      <c r="N38" s="188">
        <f>Data!M37</f>
        <v>145.12436955434572</v>
      </c>
      <c r="O38" s="187">
        <f>Data!AX37</f>
        <v>36</v>
      </c>
      <c r="P38" s="189">
        <f>Data!K37</f>
        <v>11559</v>
      </c>
      <c r="Q38" s="191"/>
      <c r="R38" s="190">
        <f t="shared" ca="1" si="5"/>
        <v>21604801.585150935</v>
      </c>
      <c r="S38" s="92">
        <f t="shared" ca="1" si="4"/>
        <v>-950910.01532433927</v>
      </c>
      <c r="T38" s="93">
        <f t="shared" ca="1" si="1"/>
        <v>4.2524000958080795E-2</v>
      </c>
      <c r="U38"/>
      <c r="Y38" s="184"/>
    </row>
    <row r="39" spans="1:25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6">
        <f>Data!D38</f>
        <v>24264791.666666668</v>
      </c>
      <c r="E39" s="186">
        <f>Data!E38</f>
        <v>5851666.1732000001</v>
      </c>
      <c r="F39" s="185">
        <f ca="1">Data!F38</f>
        <v>203860.51658636567</v>
      </c>
      <c r="G39" s="185">
        <f t="shared" ca="1" si="3"/>
        <v>24468652.183253035</v>
      </c>
      <c r="H39" s="196">
        <f>Data!U38</f>
        <v>809.69999999999993</v>
      </c>
      <c r="I39" s="187">
        <f>Data!X38</f>
        <v>0</v>
      </c>
      <c r="J39" s="225">
        <f t="shared" ca="1" si="7"/>
        <v>671.55</v>
      </c>
      <c r="K39" s="225">
        <f t="shared" ca="1" si="7"/>
        <v>0</v>
      </c>
      <c r="L39" s="187">
        <f>Data!AG38</f>
        <v>31</v>
      </c>
      <c r="M39" s="187">
        <f>Data!AU38</f>
        <v>0</v>
      </c>
      <c r="N39" s="188">
        <f>Data!M38</f>
        <v>145.42343989373933</v>
      </c>
      <c r="O39" s="187">
        <f>Data!AX38</f>
        <v>37</v>
      </c>
      <c r="P39" s="189">
        <f>Data!K38</f>
        <v>11563.166666666666</v>
      </c>
      <c r="Q39" s="191"/>
      <c r="R39" s="190">
        <f t="shared" ca="1" si="5"/>
        <v>22947834.648904141</v>
      </c>
      <c r="S39" s="92">
        <f t="shared" ca="1" si="4"/>
        <v>-1520817.5343488939</v>
      </c>
      <c r="T39" s="93">
        <f t="shared" ca="1" si="1"/>
        <v>6.2675894985659009E-2</v>
      </c>
    </row>
    <row r="40" spans="1:25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6">
        <f>Data!D39</f>
        <v>20828400.000000004</v>
      </c>
      <c r="E40" s="186">
        <f>Data!E39</f>
        <v>6455879.2321999995</v>
      </c>
      <c r="F40" s="185">
        <f ca="1">Data!F39</f>
        <v>209554.41711869786</v>
      </c>
      <c r="G40" s="185">
        <f t="shared" ca="1" si="3"/>
        <v>21037954.417118702</v>
      </c>
      <c r="H40" s="196">
        <f>Data!U39</f>
        <v>705.10000000000014</v>
      </c>
      <c r="I40" s="187">
        <f>Data!X39</f>
        <v>0</v>
      </c>
      <c r="J40" s="225">
        <f t="shared" ca="1" si="7"/>
        <v>591.43000000000006</v>
      </c>
      <c r="K40" s="225">
        <f t="shared" ca="1" si="7"/>
        <v>0</v>
      </c>
      <c r="L40" s="187">
        <f>Data!AG39</f>
        <v>28</v>
      </c>
      <c r="M40" s="187">
        <f>Data!AU39</f>
        <v>0</v>
      </c>
      <c r="N40" s="188">
        <f>Data!M39</f>
        <v>145.72251023313294</v>
      </c>
      <c r="O40" s="187">
        <f>Data!AX39</f>
        <v>38</v>
      </c>
      <c r="P40" s="189">
        <f>Data!K39</f>
        <v>11567.333333333332</v>
      </c>
      <c r="Q40" s="191"/>
      <c r="R40" s="190">
        <f t="shared" ca="1" si="5"/>
        <v>19786623.768335212</v>
      </c>
      <c r="S40" s="92">
        <f t="shared" ca="1" si="4"/>
        <v>-1251330.6487834901</v>
      </c>
      <c r="T40" s="93">
        <f t="shared" ca="1" si="1"/>
        <v>6.007809763512751E-2</v>
      </c>
    </row>
    <row r="41" spans="1:25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6">
        <f>Data!D40</f>
        <v>21052908.333333336</v>
      </c>
      <c r="E41" s="186">
        <f>Data!E40</f>
        <v>5377054.6365999999</v>
      </c>
      <c r="F41" s="185">
        <f ca="1">Data!F40</f>
        <v>215248.31765103003</v>
      </c>
      <c r="G41" s="185">
        <f t="shared" ca="1" si="3"/>
        <v>21268156.650984365</v>
      </c>
      <c r="H41" s="196">
        <f>Data!U40</f>
        <v>637.10000000000014</v>
      </c>
      <c r="I41" s="187">
        <f>Data!X40</f>
        <v>0</v>
      </c>
      <c r="J41" s="225">
        <f t="shared" ca="1" si="7"/>
        <v>493.21999999999997</v>
      </c>
      <c r="K41" s="225">
        <f t="shared" ca="1" si="7"/>
        <v>1.5699999999999998</v>
      </c>
      <c r="L41" s="187">
        <f>Data!AG40</f>
        <v>31</v>
      </c>
      <c r="M41" s="187">
        <f>Data!AU40</f>
        <v>1</v>
      </c>
      <c r="N41" s="188">
        <f>Data!M40</f>
        <v>146.02158057252655</v>
      </c>
      <c r="O41" s="187">
        <f>Data!AX40</f>
        <v>39</v>
      </c>
      <c r="P41" s="189">
        <f>Data!K40</f>
        <v>11571.499999999998</v>
      </c>
      <c r="Q41" s="191"/>
      <c r="R41" s="190">
        <f t="shared" ca="1" si="5"/>
        <v>19755697.058269452</v>
      </c>
      <c r="S41" s="92">
        <f t="shared" ca="1" si="4"/>
        <v>-1512459.5927149132</v>
      </c>
      <c r="T41" s="93">
        <f t="shared" ca="1" si="1"/>
        <v>7.1840886245641264E-2</v>
      </c>
    </row>
    <row r="42" spans="1:25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6">
        <f>Data!D41</f>
        <v>17638016.666666668</v>
      </c>
      <c r="E42" s="186">
        <f>Data!E41</f>
        <v>5351869.0661999993</v>
      </c>
      <c r="F42" s="185">
        <f ca="1">Data!F41</f>
        <v>220942.21818336219</v>
      </c>
      <c r="G42" s="185">
        <f t="shared" ca="1" si="3"/>
        <v>17858958.884850029</v>
      </c>
      <c r="H42" s="196">
        <f>Data!U41</f>
        <v>283.40000000000003</v>
      </c>
      <c r="I42" s="187">
        <f>Data!X41</f>
        <v>0.30000000000000071</v>
      </c>
      <c r="J42" s="225">
        <f t="shared" ca="1" si="7"/>
        <v>298.61</v>
      </c>
      <c r="K42" s="225">
        <f t="shared" ca="1" si="7"/>
        <v>1.4</v>
      </c>
      <c r="L42" s="187">
        <f>Data!AG41</f>
        <v>30</v>
      </c>
      <c r="M42" s="187">
        <f>Data!AU41</f>
        <v>1</v>
      </c>
      <c r="N42" s="188">
        <f>Data!M41</f>
        <v>146.32065091192015</v>
      </c>
      <c r="O42" s="187">
        <f>Data!AX41</f>
        <v>40</v>
      </c>
      <c r="P42" s="189">
        <f>Data!K41</f>
        <v>11575.666666666664</v>
      </c>
      <c r="Q42" s="191"/>
      <c r="R42" s="190">
        <f t="shared" ca="1" si="5"/>
        <v>18076448.385528471</v>
      </c>
      <c r="S42" s="92">
        <f t="shared" ca="1" si="4"/>
        <v>217489.50067844242</v>
      </c>
      <c r="T42" s="93">
        <f t="shared" ca="1" si="1"/>
        <v>1.233072316398626E-2</v>
      </c>
    </row>
    <row r="43" spans="1:25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6">
        <f>Data!D42</f>
        <v>18077492.307692308</v>
      </c>
      <c r="E43" s="186">
        <f>Data!E42</f>
        <v>4532702.1191399992</v>
      </c>
      <c r="F43" s="185">
        <f ca="1">Data!F42</f>
        <v>226636.11871569435</v>
      </c>
      <c r="G43" s="185">
        <f t="shared" ca="1" si="3"/>
        <v>18304128.426408004</v>
      </c>
      <c r="H43" s="196">
        <f>Data!U42</f>
        <v>103.4</v>
      </c>
      <c r="I43" s="187">
        <f>Data!X42</f>
        <v>53.099999999999994</v>
      </c>
      <c r="J43" s="225">
        <f t="shared" ca="1" si="7"/>
        <v>105.4</v>
      </c>
      <c r="K43" s="225">
        <f t="shared" ca="1" si="7"/>
        <v>59.319999999999993</v>
      </c>
      <c r="L43" s="187">
        <f>Data!AG42</f>
        <v>31</v>
      </c>
      <c r="M43" s="187">
        <f>Data!AU42</f>
        <v>1</v>
      </c>
      <c r="N43" s="188">
        <f>Data!M42</f>
        <v>146.61972125131376</v>
      </c>
      <c r="O43" s="187">
        <f>Data!AX42</f>
        <v>41</v>
      </c>
      <c r="P43" s="189">
        <f>Data!K42</f>
        <v>11579.83333333333</v>
      </c>
      <c r="Q43" s="191"/>
      <c r="R43" s="190">
        <f t="shared" ca="1" si="5"/>
        <v>18609160.744796637</v>
      </c>
      <c r="S43" s="92">
        <f t="shared" ca="1" si="4"/>
        <v>305032.31838863343</v>
      </c>
      <c r="T43" s="93">
        <f t="shared" ca="1" si="1"/>
        <v>1.687359691248971E-2</v>
      </c>
    </row>
    <row r="44" spans="1:25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6">
        <f>Data!D43</f>
        <v>21714569.230769232</v>
      </c>
      <c r="E44" s="186">
        <f>Data!E43</f>
        <v>4769608.2417399995</v>
      </c>
      <c r="F44" s="185">
        <f ca="1">Data!F43</f>
        <v>232330.01924802654</v>
      </c>
      <c r="G44" s="185">
        <f t="shared" ca="1" si="3"/>
        <v>21946899.250017259</v>
      </c>
      <c r="H44" s="196">
        <f>Data!U43</f>
        <v>4.9999999999999964</v>
      </c>
      <c r="I44" s="187">
        <f>Data!X43</f>
        <v>160.5</v>
      </c>
      <c r="J44" s="225">
        <f t="shared" ca="1" si="7"/>
        <v>12.239999999999998</v>
      </c>
      <c r="K44" s="225">
        <f t="shared" ca="1" si="7"/>
        <v>147.38999999999999</v>
      </c>
      <c r="L44" s="187">
        <f>Data!AG43</f>
        <v>30</v>
      </c>
      <c r="M44" s="187">
        <f>Data!AU43</f>
        <v>0</v>
      </c>
      <c r="N44" s="188">
        <f>Data!M43</f>
        <v>146.91879159070737</v>
      </c>
      <c r="O44" s="187">
        <f>Data!AX43</f>
        <v>42</v>
      </c>
      <c r="P44" s="189">
        <f>Data!K43</f>
        <v>11583.999999999996</v>
      </c>
      <c r="Q44" s="191"/>
      <c r="R44" s="190">
        <f t="shared" ca="1" si="5"/>
        <v>21430084.021422345</v>
      </c>
      <c r="S44" s="92">
        <f t="shared" ca="1" si="4"/>
        <v>-516815.22859491408</v>
      </c>
      <c r="T44" s="93">
        <f t="shared" ca="1" si="1"/>
        <v>2.3800390562783734E-2</v>
      </c>
    </row>
    <row r="45" spans="1:25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6">
        <f>Data!D44</f>
        <v>22619392.307692308</v>
      </c>
      <c r="E45" s="186">
        <f>Data!E44</f>
        <v>5499725.0896799993</v>
      </c>
      <c r="F45" s="185">
        <f ca="1">Data!F44</f>
        <v>238023.9197803587</v>
      </c>
      <c r="G45" s="185">
        <f t="shared" ca="1" si="3"/>
        <v>22857416.227472667</v>
      </c>
      <c r="H45" s="196">
        <f>Data!U44</f>
        <v>4.4000000000000021</v>
      </c>
      <c r="I45" s="187">
        <f>Data!X44</f>
        <v>142.1</v>
      </c>
      <c r="J45" s="225">
        <f t="shared" ca="1" si="7"/>
        <v>1.0100000000000002</v>
      </c>
      <c r="K45" s="225">
        <f t="shared" ca="1" si="7"/>
        <v>229.98999999999995</v>
      </c>
      <c r="L45" s="187">
        <f>Data!AG44</f>
        <v>31</v>
      </c>
      <c r="M45" s="187">
        <f>Data!AU44</f>
        <v>0</v>
      </c>
      <c r="N45" s="188">
        <f>Data!M44</f>
        <v>147.21786193010098</v>
      </c>
      <c r="O45" s="187">
        <f>Data!AX44</f>
        <v>43</v>
      </c>
      <c r="P45" s="189">
        <f>Data!K44</f>
        <v>11588.166666666662</v>
      </c>
      <c r="Q45" s="191"/>
      <c r="R45" s="190">
        <f t="shared" ca="1" si="5"/>
        <v>26819169.106798224</v>
      </c>
      <c r="S45" s="92">
        <f t="shared" ca="1" si="4"/>
        <v>3961752.8793255575</v>
      </c>
      <c r="T45" s="93">
        <f t="shared" ca="1" si="1"/>
        <v>0.17514851086332064</v>
      </c>
      <c r="U45"/>
    </row>
    <row r="46" spans="1:25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6">
        <f>Data!D45</f>
        <v>23222976.923076924</v>
      </c>
      <c r="E46" s="186">
        <f>Data!E45</f>
        <v>5776255.4186199997</v>
      </c>
      <c r="F46" s="185">
        <f ca="1">Data!F45</f>
        <v>243717.82031269086</v>
      </c>
      <c r="G46" s="185">
        <f t="shared" ca="1" si="3"/>
        <v>23466694.743389614</v>
      </c>
      <c r="H46" s="196">
        <f>Data!U45</f>
        <v>3.8000000000000007</v>
      </c>
      <c r="I46" s="187">
        <f>Data!X45</f>
        <v>154</v>
      </c>
      <c r="J46" s="225">
        <f t="shared" ca="1" si="7"/>
        <v>2.3899999999999997</v>
      </c>
      <c r="K46" s="225">
        <f t="shared" ca="1" si="7"/>
        <v>185.42</v>
      </c>
      <c r="L46" s="187">
        <f>Data!AG45</f>
        <v>31</v>
      </c>
      <c r="M46" s="187">
        <f>Data!AU45</f>
        <v>0</v>
      </c>
      <c r="N46" s="188">
        <f>Data!M45</f>
        <v>147.51693226949459</v>
      </c>
      <c r="O46" s="187">
        <f>Data!AX45</f>
        <v>44</v>
      </c>
      <c r="P46" s="189">
        <f>Data!K45</f>
        <v>11592.333333333328</v>
      </c>
      <c r="Q46" s="191"/>
      <c r="R46" s="190">
        <f t="shared" ca="1" si="5"/>
        <v>24880810.18568778</v>
      </c>
      <c r="S46" s="92">
        <f t="shared" ca="1" si="4"/>
        <v>1414115.4422981665</v>
      </c>
      <c r="T46" s="93">
        <f t="shared" ca="1" si="1"/>
        <v>6.0892944387889593E-2</v>
      </c>
      <c r="U46"/>
    </row>
    <row r="47" spans="1:25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6">
        <f>Data!D46</f>
        <v>19789369.230769232</v>
      </c>
      <c r="E47" s="186">
        <f>Data!E46</f>
        <v>5942311.7742699999</v>
      </c>
      <c r="F47" s="185">
        <f ca="1">Data!F46</f>
        <v>249411.72084502305</v>
      </c>
      <c r="G47" s="185">
        <f t="shared" ca="1" si="3"/>
        <v>20038780.951614253</v>
      </c>
      <c r="H47" s="196">
        <f>Data!U46</f>
        <v>76.799999999999983</v>
      </c>
      <c r="I47" s="187">
        <f>Data!X46</f>
        <v>54.7</v>
      </c>
      <c r="J47" s="225">
        <f t="shared" ca="1" si="7"/>
        <v>45.749999999999993</v>
      </c>
      <c r="K47" s="225">
        <f t="shared" ca="1" si="7"/>
        <v>88.07</v>
      </c>
      <c r="L47" s="187">
        <f>Data!AG46</f>
        <v>30</v>
      </c>
      <c r="M47" s="187">
        <f>Data!AU46</f>
        <v>0</v>
      </c>
      <c r="N47" s="188">
        <f>Data!M46</f>
        <v>147.8160026088882</v>
      </c>
      <c r="O47" s="187">
        <f>Data!AX46</f>
        <v>45</v>
      </c>
      <c r="P47" s="189">
        <f>Data!K46</f>
        <v>11596.499999999995</v>
      </c>
      <c r="Q47" s="191"/>
      <c r="R47" s="190">
        <f t="shared" ca="1" si="5"/>
        <v>21215332.598048799</v>
      </c>
      <c r="S47" s="92">
        <f t="shared" ca="1" si="4"/>
        <v>1176551.6464345455</v>
      </c>
      <c r="T47" s="93">
        <f t="shared" ca="1" si="1"/>
        <v>5.9453721476134778E-2</v>
      </c>
      <c r="U47"/>
    </row>
    <row r="48" spans="1:25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6">
        <f>Data!D47</f>
        <v>18224553.846153844</v>
      </c>
      <c r="E48" s="186">
        <f>Data!E47</f>
        <v>4937879.0150799993</v>
      </c>
      <c r="F48" s="185">
        <f ca="1">Data!F47</f>
        <v>255105.62137735522</v>
      </c>
      <c r="G48" s="185">
        <f t="shared" ca="1" si="3"/>
        <v>18479659.4675312</v>
      </c>
      <c r="H48" s="196">
        <f>Data!U47</f>
        <v>219.2</v>
      </c>
      <c r="I48" s="187">
        <f>Data!X47</f>
        <v>2.6999999999999993</v>
      </c>
      <c r="J48" s="225">
        <f t="shared" ca="1" si="7"/>
        <v>200.71</v>
      </c>
      <c r="K48" s="225">
        <f t="shared" ca="1" si="7"/>
        <v>17.57</v>
      </c>
      <c r="L48" s="187">
        <f>Data!AG47</f>
        <v>31</v>
      </c>
      <c r="M48" s="187">
        <f>Data!AU47</f>
        <v>0</v>
      </c>
      <c r="N48" s="188">
        <f>Data!M47</f>
        <v>148.11507294828181</v>
      </c>
      <c r="O48" s="187">
        <f>Data!AX47</f>
        <v>46</v>
      </c>
      <c r="P48" s="189">
        <f>Data!K47</f>
        <v>11600.666666666661</v>
      </c>
      <c r="Q48" s="191"/>
      <c r="R48" s="190">
        <f t="shared" ca="1" si="5"/>
        <v>18952711.15253308</v>
      </c>
      <c r="S48" s="92">
        <f t="shared" ca="1" si="4"/>
        <v>473051.68500187993</v>
      </c>
      <c r="T48" s="93">
        <f t="shared" ca="1" si="1"/>
        <v>2.5956832139499203E-2</v>
      </c>
      <c r="U48"/>
    </row>
    <row r="49" spans="1:27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6">
        <f>Data!D48</f>
        <v>20282892.307692308</v>
      </c>
      <c r="E49" s="186">
        <f>Data!E48</f>
        <v>4763007.1476699999</v>
      </c>
      <c r="F49" s="185">
        <f ca="1">Data!F48</f>
        <v>260799.52190968738</v>
      </c>
      <c r="G49" s="185">
        <f t="shared" ca="1" si="3"/>
        <v>20543691.829601996</v>
      </c>
      <c r="H49" s="196">
        <f>Data!U48</f>
        <v>479.30000000000013</v>
      </c>
      <c r="I49" s="187">
        <f>Data!X48</f>
        <v>0</v>
      </c>
      <c r="J49" s="225">
        <f t="shared" ca="1" si="7"/>
        <v>400.69</v>
      </c>
      <c r="K49" s="225">
        <f t="shared" ca="1" si="7"/>
        <v>0.43999999999999984</v>
      </c>
      <c r="L49" s="187">
        <f>Data!AG48</f>
        <v>30</v>
      </c>
      <c r="M49" s="187">
        <f>Data!AU48</f>
        <v>0</v>
      </c>
      <c r="N49" s="188">
        <f>Data!M48</f>
        <v>148.41414328767499</v>
      </c>
      <c r="O49" s="187">
        <f>Data!AX48</f>
        <v>47</v>
      </c>
      <c r="P49" s="189">
        <f>Data!K48</f>
        <v>11604.833333333327</v>
      </c>
      <c r="Q49" s="191"/>
      <c r="R49" s="190">
        <f t="shared" ca="1" si="5"/>
        <v>19698337.863285273</v>
      </c>
      <c r="S49" s="92">
        <f t="shared" ca="1" si="4"/>
        <v>-845353.96631672233</v>
      </c>
      <c r="T49" s="93">
        <f t="shared" ca="1" si="1"/>
        <v>4.1678176538763212E-2</v>
      </c>
      <c r="U49"/>
      <c r="V49">
        <v>1</v>
      </c>
      <c r="W49" s="109">
        <f ca="1">SUMIFS($G$3:$G$122,$C$3:$C$122,V49)</f>
        <v>232798326.30122644</v>
      </c>
      <c r="X49" s="109">
        <f ca="1">SUMIFS($R$3:$R$122,$C$3:$C$122,V49)</f>
        <v>232798326.30122647</v>
      </c>
      <c r="Y49" s="123">
        <f t="shared" ref="Y49:Y60" ca="1" si="8">W49-X49</f>
        <v>0</v>
      </c>
      <c r="Z49" s="100">
        <f ca="1">SUMIFS($T$2:$T$121,$C$3:$C$122,V49)</f>
        <v>0.29250446507113409</v>
      </c>
      <c r="AA49" s="112">
        <f ca="1">ABS(Y49/W49)</f>
        <v>0</v>
      </c>
    </row>
    <row r="50" spans="1:27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6">
        <f>Data!D49</f>
        <v>22057292.307692308</v>
      </c>
      <c r="E50" s="186">
        <f>Data!E49</f>
        <v>5830346.3885199996</v>
      </c>
      <c r="F50" s="185">
        <f ca="1">Data!F49</f>
        <v>266493.42244201957</v>
      </c>
      <c r="G50" s="185">
        <f t="shared" ca="1" si="3"/>
        <v>22323785.730134327</v>
      </c>
      <c r="H50" s="196">
        <f>Data!U49</f>
        <v>545.20000000000005</v>
      </c>
      <c r="I50" s="187">
        <f>Data!X49</f>
        <v>0</v>
      </c>
      <c r="J50" s="225">
        <f t="shared" ca="1" si="7"/>
        <v>549.42000000000007</v>
      </c>
      <c r="K50" s="225">
        <f t="shared" ca="1" si="7"/>
        <v>0</v>
      </c>
      <c r="L50" s="187">
        <f>Data!AG49</f>
        <v>31</v>
      </c>
      <c r="M50" s="187">
        <f>Data!AU49</f>
        <v>0</v>
      </c>
      <c r="N50" s="188">
        <f>Data!M49</f>
        <v>148.71321362706902</v>
      </c>
      <c r="O50" s="187">
        <f>Data!AX49</f>
        <v>48</v>
      </c>
      <c r="P50" s="189">
        <f>Data!K49</f>
        <v>11656</v>
      </c>
      <c r="Q50" s="191"/>
      <c r="R50" s="190">
        <f t="shared" ca="1" si="5"/>
        <v>22370241.394230977</v>
      </c>
      <c r="S50" s="92">
        <f t="shared" ca="1" si="4"/>
        <v>46455.664096649736</v>
      </c>
      <c r="T50" s="93">
        <f t="shared" ca="1" si="1"/>
        <v>2.1061363039763812E-3</v>
      </c>
      <c r="U50"/>
      <c r="V50">
        <f>V49+1</f>
        <v>2</v>
      </c>
      <c r="W50" s="109">
        <f t="shared" ref="W50:W60" ca="1" si="9">SUMIFS($G$3:$G$122,$C$3:$C$122,V50)</f>
        <v>206554813.62612078</v>
      </c>
      <c r="X50" s="109">
        <f t="shared" ref="X50:X60" ca="1" si="10">SUMIFS($R$3:$R$122,$C$3:$C$122,V50)</f>
        <v>206554813.62612081</v>
      </c>
      <c r="Y50" s="123">
        <f t="shared" ca="1" si="8"/>
        <v>0</v>
      </c>
      <c r="Z50" s="100">
        <f t="shared" ref="Z50:Z60" ca="1" si="11">SUMIFS($T$2:$T$121,$C$3:$C$122,V50)</f>
        <v>0.35332606993107235</v>
      </c>
      <c r="AA50" s="112">
        <f t="shared" ref="AA50:AA71" ca="1" si="12">ABS(Y50/W50)</f>
        <v>0</v>
      </c>
    </row>
    <row r="51" spans="1:27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6">
        <f>Data!D50</f>
        <v>24198407.692307692</v>
      </c>
      <c r="E51" s="186">
        <f>Data!E50</f>
        <v>6302302.4270000001</v>
      </c>
      <c r="F51" s="185">
        <f ca="1">Data!F50</f>
        <v>292317.35638691939</v>
      </c>
      <c r="G51" s="185">
        <f t="shared" ca="1" si="3"/>
        <v>24490725.048694611</v>
      </c>
      <c r="H51" s="196">
        <f>Data!U50</f>
        <v>766.90000000000009</v>
      </c>
      <c r="I51" s="187">
        <f>Data!X50</f>
        <v>0</v>
      </c>
      <c r="J51" s="225">
        <f t="shared" ca="1" si="7"/>
        <v>671.55</v>
      </c>
      <c r="K51" s="225">
        <f t="shared" ca="1" si="7"/>
        <v>0</v>
      </c>
      <c r="L51" s="187">
        <f>Data!AG50</f>
        <v>31</v>
      </c>
      <c r="M51" s="187">
        <f>Data!AU50</f>
        <v>0</v>
      </c>
      <c r="N51" s="188">
        <f>Data!M50</f>
        <v>149.04230706618222</v>
      </c>
      <c r="O51" s="187">
        <f>Data!AX50</f>
        <v>49</v>
      </c>
      <c r="P51" s="189">
        <f>Data!K50</f>
        <v>11663.166666666666</v>
      </c>
      <c r="Q51" s="191"/>
      <c r="R51" s="190">
        <f t="shared" ca="1" si="5"/>
        <v>23441069.226036869</v>
      </c>
      <c r="S51" s="92">
        <f t="shared" ca="1" si="4"/>
        <v>-1049655.8226577416</v>
      </c>
      <c r="T51" s="93">
        <f t="shared" ca="1" si="1"/>
        <v>4.3377061664739675E-2</v>
      </c>
      <c r="U51"/>
      <c r="V51">
        <f t="shared" ref="V51:V60" si="13">V50+1</f>
        <v>3</v>
      </c>
      <c r="W51" s="109">
        <f t="shared" ca="1" si="9"/>
        <v>205780422.05192423</v>
      </c>
      <c r="X51" s="109">
        <f t="shared" ca="1" si="10"/>
        <v>205780422.0519242</v>
      </c>
      <c r="Y51" s="123">
        <f t="shared" ca="1" si="8"/>
        <v>0</v>
      </c>
      <c r="Z51" s="100">
        <f t="shared" ca="1" si="11"/>
        <v>0.38864443661750692</v>
      </c>
      <c r="AA51" s="112">
        <f t="shared" ca="1" si="12"/>
        <v>0</v>
      </c>
    </row>
    <row r="52" spans="1:27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6">
        <f>Data!D51</f>
        <v>22363023.07692308</v>
      </c>
      <c r="E52" s="186">
        <f>Data!E51</f>
        <v>7035744.3120299997</v>
      </c>
      <c r="F52" s="185">
        <f ca="1">Data!F51</f>
        <v>305441.31464606267</v>
      </c>
      <c r="G52" s="185">
        <f t="shared" ca="1" si="3"/>
        <v>22668464.391569141</v>
      </c>
      <c r="H52" s="196">
        <f>Data!U51</f>
        <v>811.10000000000014</v>
      </c>
      <c r="I52" s="187">
        <f>Data!X51</f>
        <v>0</v>
      </c>
      <c r="J52" s="225">
        <f t="shared" ca="1" si="7"/>
        <v>591.43000000000006</v>
      </c>
      <c r="K52" s="225">
        <f t="shared" ca="1" si="7"/>
        <v>0</v>
      </c>
      <c r="L52" s="187">
        <f>Data!AG51</f>
        <v>28</v>
      </c>
      <c r="M52" s="187">
        <f>Data!AU51</f>
        <v>0</v>
      </c>
      <c r="N52" s="188">
        <f>Data!M51</f>
        <v>149.37140050529541</v>
      </c>
      <c r="O52" s="187">
        <f>Data!AX51</f>
        <v>50</v>
      </c>
      <c r="P52" s="189">
        <f>Data!K51</f>
        <v>11670.333333333332</v>
      </c>
      <c r="Q52" s="191"/>
      <c r="R52" s="190">
        <f t="shared" ca="1" si="5"/>
        <v>20250237.914765511</v>
      </c>
      <c r="S52" s="92">
        <f t="shared" ca="1" si="4"/>
        <v>-2418226.4768036306</v>
      </c>
      <c r="T52" s="93">
        <f t="shared" ca="1" si="1"/>
        <v>0.10813504366049036</v>
      </c>
      <c r="U52"/>
      <c r="V52">
        <f t="shared" si="13"/>
        <v>4</v>
      </c>
      <c r="W52" s="109">
        <f t="shared" ca="1" si="9"/>
        <v>182677745.71038496</v>
      </c>
      <c r="X52" s="109">
        <f t="shared" ca="1" si="10"/>
        <v>182677745.71038499</v>
      </c>
      <c r="Y52" s="123">
        <f t="shared" ca="1" si="8"/>
        <v>0</v>
      </c>
      <c r="Z52" s="100">
        <f t="shared" ca="1" si="11"/>
        <v>0.37787432590763625</v>
      </c>
      <c r="AA52" s="112">
        <f t="shared" ca="1" si="12"/>
        <v>0</v>
      </c>
    </row>
    <row r="53" spans="1:27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6">
        <f>Data!D52</f>
        <v>20856446.153846156</v>
      </c>
      <c r="E53" s="186">
        <f>Data!E52</f>
        <v>6572816.4936800003</v>
      </c>
      <c r="F53" s="185">
        <f ca="1">Data!F52</f>
        <v>318565.27290520596</v>
      </c>
      <c r="G53" s="185">
        <f t="shared" ca="1" si="3"/>
        <v>21175011.42675136</v>
      </c>
      <c r="H53" s="196">
        <f>Data!U52</f>
        <v>565.29999999999995</v>
      </c>
      <c r="I53" s="187">
        <f>Data!X52</f>
        <v>0</v>
      </c>
      <c r="J53" s="225">
        <f t="shared" ca="1" si="7"/>
        <v>493.21999999999997</v>
      </c>
      <c r="K53" s="225">
        <f t="shared" ca="1" si="7"/>
        <v>1.5699999999999998</v>
      </c>
      <c r="L53" s="187">
        <f>Data!AG52</f>
        <v>31</v>
      </c>
      <c r="M53" s="187">
        <f>Data!AU52</f>
        <v>1</v>
      </c>
      <c r="N53" s="188">
        <f>Data!M52</f>
        <v>149.70049394440861</v>
      </c>
      <c r="O53" s="187">
        <f>Data!AX52</f>
        <v>51</v>
      </c>
      <c r="P53" s="189">
        <f>Data!K52</f>
        <v>11677.499999999998</v>
      </c>
      <c r="Q53" s="191"/>
      <c r="R53" s="190">
        <f t="shared" ca="1" si="5"/>
        <v>20452958.630751979</v>
      </c>
      <c r="S53" s="92">
        <f t="shared" ca="1" si="4"/>
        <v>-722052.79599938169</v>
      </c>
      <c r="T53" s="93">
        <f t="shared" ca="1" si="1"/>
        <v>3.4620126107449391E-2</v>
      </c>
      <c r="U53"/>
      <c r="V53">
        <f t="shared" si="13"/>
        <v>5</v>
      </c>
      <c r="W53" s="109">
        <f t="shared" ca="1" si="9"/>
        <v>183349566.57192269</v>
      </c>
      <c r="X53" s="109">
        <f t="shared" ca="1" si="10"/>
        <v>183349566.57192263</v>
      </c>
      <c r="Y53" s="123">
        <f t="shared" ca="1" si="8"/>
        <v>0</v>
      </c>
      <c r="Z53" s="100">
        <f t="shared" ca="1" si="11"/>
        <v>0.21250501565606095</v>
      </c>
      <c r="AA53" s="112">
        <f t="shared" ca="1" si="12"/>
        <v>0</v>
      </c>
    </row>
    <row r="54" spans="1:27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6">
        <f>Data!D53</f>
        <v>17544146.153846156</v>
      </c>
      <c r="E54" s="186">
        <f>Data!E53</f>
        <v>5776693.9478900004</v>
      </c>
      <c r="F54" s="185">
        <f ca="1">Data!F53</f>
        <v>331689.23116434924</v>
      </c>
      <c r="G54" s="185">
        <f t="shared" ca="1" si="3"/>
        <v>17875835.385010503</v>
      </c>
      <c r="H54" s="196">
        <f>Data!U53</f>
        <v>283.2</v>
      </c>
      <c r="I54" s="187">
        <f>Data!X53</f>
        <v>0</v>
      </c>
      <c r="J54" s="225">
        <f t="shared" ca="1" si="7"/>
        <v>298.61</v>
      </c>
      <c r="K54" s="225">
        <f t="shared" ca="1" si="7"/>
        <v>1.4</v>
      </c>
      <c r="L54" s="187">
        <f>Data!AG53</f>
        <v>30</v>
      </c>
      <c r="M54" s="187">
        <f>Data!AU53</f>
        <v>1</v>
      </c>
      <c r="N54" s="188">
        <f>Data!M53</f>
        <v>150.0295873835218</v>
      </c>
      <c r="O54" s="187">
        <f>Data!AX53</f>
        <v>52</v>
      </c>
      <c r="P54" s="189">
        <f>Data!K53</f>
        <v>11684.666666666664</v>
      </c>
      <c r="Q54" s="191"/>
      <c r="R54" s="190">
        <f t="shared" ca="1" si="5"/>
        <v>18109176.837151062</v>
      </c>
      <c r="S54" s="92">
        <f t="shared" ca="1" si="4"/>
        <v>233341.45214055851</v>
      </c>
      <c r="T54" s="93">
        <f t="shared" ca="1" si="1"/>
        <v>1.3300245568770738E-2</v>
      </c>
      <c r="U54"/>
      <c r="V54">
        <f t="shared" si="13"/>
        <v>6</v>
      </c>
      <c r="W54" s="109">
        <f t="shared" ca="1" si="9"/>
        <v>214899733.22707337</v>
      </c>
      <c r="X54" s="109">
        <f t="shared" ca="1" si="10"/>
        <v>214899733.2270734</v>
      </c>
      <c r="Y54" s="123">
        <f t="shared" ca="1" si="8"/>
        <v>0</v>
      </c>
      <c r="Z54" s="100">
        <f t="shared" ca="1" si="11"/>
        <v>0.28971367129943987</v>
      </c>
      <c r="AA54" s="112">
        <f t="shared" ca="1" si="12"/>
        <v>0</v>
      </c>
    </row>
    <row r="55" spans="1:27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6">
        <f>Data!D54</f>
        <v>17949553.846153844</v>
      </c>
      <c r="E55" s="186">
        <f>Data!E54</f>
        <v>4635765.9455300011</v>
      </c>
      <c r="F55" s="185">
        <f ca="1">Data!F54</f>
        <v>344813.18942349253</v>
      </c>
      <c r="G55" s="185">
        <f t="shared" ca="1" si="3"/>
        <v>18294367.035577338</v>
      </c>
      <c r="H55" s="196">
        <f>Data!U54</f>
        <v>79.599999999999994</v>
      </c>
      <c r="I55" s="187">
        <f>Data!X54</f>
        <v>74.399999999999991</v>
      </c>
      <c r="J55" s="225">
        <f t="shared" ref="J55:K74" ca="1" si="14">J43</f>
        <v>105.4</v>
      </c>
      <c r="K55" s="225">
        <f t="shared" ca="1" si="14"/>
        <v>59.319999999999993</v>
      </c>
      <c r="L55" s="187">
        <f>Data!AG54</f>
        <v>31</v>
      </c>
      <c r="M55" s="187">
        <f>Data!AU54</f>
        <v>1</v>
      </c>
      <c r="N55" s="188">
        <f>Data!M54</f>
        <v>150.35868082263499</v>
      </c>
      <c r="O55" s="187">
        <f>Data!AX54</f>
        <v>53</v>
      </c>
      <c r="P55" s="189">
        <f>Data!K54</f>
        <v>11691.83333333333</v>
      </c>
      <c r="Q55" s="191"/>
      <c r="R55" s="190">
        <f t="shared" ca="1" si="5"/>
        <v>17892231.946049616</v>
      </c>
      <c r="S55" s="92">
        <f t="shared" ca="1" si="4"/>
        <v>-402135.08952772245</v>
      </c>
      <c r="T55" s="93">
        <f t="shared" ca="1" si="1"/>
        <v>2.2403625904823827E-2</v>
      </c>
      <c r="U55"/>
      <c r="V55">
        <f t="shared" si="13"/>
        <v>7</v>
      </c>
      <c r="W55" s="109">
        <f t="shared" ca="1" si="9"/>
        <v>261919814.38875091</v>
      </c>
      <c r="X55" s="109">
        <f t="shared" ca="1" si="10"/>
        <v>261919814.38875091</v>
      </c>
      <c r="Y55" s="123">
        <f t="shared" ca="1" si="8"/>
        <v>0</v>
      </c>
      <c r="Z55" s="100">
        <f t="shared" ca="1" si="11"/>
        <v>0.37936757350932598</v>
      </c>
      <c r="AA55" s="112">
        <f t="shared" ca="1" si="12"/>
        <v>0</v>
      </c>
    </row>
    <row r="56" spans="1:27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6">
        <f>Data!D55</f>
        <v>20138192.307692308</v>
      </c>
      <c r="E56" s="186">
        <f>Data!E55</f>
        <v>4475709.7344300002</v>
      </c>
      <c r="F56" s="185">
        <f ca="1">Data!F55</f>
        <v>357937.14768263581</v>
      </c>
      <c r="G56" s="185">
        <f t="shared" ca="1" si="3"/>
        <v>20496129.455374945</v>
      </c>
      <c r="H56" s="196">
        <f>Data!U55</f>
        <v>18.900000000000002</v>
      </c>
      <c r="I56" s="187">
        <f>Data!X55</f>
        <v>112.89999999999998</v>
      </c>
      <c r="J56" s="225">
        <f t="shared" ca="1" si="14"/>
        <v>12.239999999999998</v>
      </c>
      <c r="K56" s="225">
        <f t="shared" ca="1" si="14"/>
        <v>147.38999999999999</v>
      </c>
      <c r="L56" s="187">
        <f>Data!AG55</f>
        <v>30</v>
      </c>
      <c r="M56" s="187">
        <f>Data!AU55</f>
        <v>0</v>
      </c>
      <c r="N56" s="188">
        <f>Data!M55</f>
        <v>150.68777426174819</v>
      </c>
      <c r="O56" s="187">
        <f>Data!AX55</f>
        <v>54</v>
      </c>
      <c r="P56" s="189">
        <f>Data!K55</f>
        <v>11698.999999999996</v>
      </c>
      <c r="Q56" s="191"/>
      <c r="R56" s="190">
        <f t="shared" ca="1" si="5"/>
        <v>21992138.201989662</v>
      </c>
      <c r="S56" s="92">
        <f t="shared" ca="1" si="4"/>
        <v>1496008.7466147169</v>
      </c>
      <c r="T56" s="93">
        <f t="shared" ca="1" si="1"/>
        <v>7.4287141753198838E-2</v>
      </c>
      <c r="U56"/>
      <c r="V56">
        <f t="shared" si="13"/>
        <v>8</v>
      </c>
      <c r="W56" s="109">
        <f t="shared" ca="1" si="9"/>
        <v>245967524.89247978</v>
      </c>
      <c r="X56" s="109">
        <f t="shared" ca="1" si="10"/>
        <v>245967524.89247978</v>
      </c>
      <c r="Y56" s="123">
        <f t="shared" ca="1" si="8"/>
        <v>0</v>
      </c>
      <c r="Z56" s="100">
        <f t="shared" ca="1" si="11"/>
        <v>0.69724090359275193</v>
      </c>
      <c r="AA56" s="112">
        <f t="shared" ca="1" si="12"/>
        <v>0</v>
      </c>
    </row>
    <row r="57" spans="1:27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6">
        <f>Data!D56</f>
        <v>23747715.384615384</v>
      </c>
      <c r="E57" s="186">
        <f>Data!E56</f>
        <v>5049557.6763899997</v>
      </c>
      <c r="F57" s="185">
        <f ca="1">Data!F56</f>
        <v>371061.1059417791</v>
      </c>
      <c r="G57" s="185">
        <f t="shared" ca="1" si="3"/>
        <v>24118776.490557164</v>
      </c>
      <c r="H57" s="196">
        <f>Data!U56</f>
        <v>2.8999999999999986</v>
      </c>
      <c r="I57" s="187">
        <f>Data!X56</f>
        <v>179.79999999999998</v>
      </c>
      <c r="J57" s="225">
        <f t="shared" ca="1" si="14"/>
        <v>1.0100000000000002</v>
      </c>
      <c r="K57" s="225">
        <f t="shared" ca="1" si="14"/>
        <v>229.98999999999995</v>
      </c>
      <c r="L57" s="187">
        <f>Data!AG56</f>
        <v>31</v>
      </c>
      <c r="M57" s="187">
        <f>Data!AU56</f>
        <v>0</v>
      </c>
      <c r="N57" s="188">
        <f>Data!M56</f>
        <v>151.01686770086138</v>
      </c>
      <c r="O57" s="187">
        <f>Data!AX56</f>
        <v>55</v>
      </c>
      <c r="P57" s="189">
        <f>Data!K56</f>
        <v>11706.166666666662</v>
      </c>
      <c r="Q57" s="191"/>
      <c r="R57" s="190">
        <f t="shared" ca="1" si="5"/>
        <v>26381659.219975974</v>
      </c>
      <c r="S57" s="92">
        <f t="shared" ca="1" si="4"/>
        <v>2262882.7294188105</v>
      </c>
      <c r="T57" s="93">
        <f t="shared" ca="1" si="1"/>
        <v>9.5288439025371957E-2</v>
      </c>
      <c r="U57"/>
      <c r="V57">
        <f t="shared" si="13"/>
        <v>9</v>
      </c>
      <c r="W57" s="109">
        <f t="shared" ca="1" si="9"/>
        <v>203224107.73606873</v>
      </c>
      <c r="X57" s="109">
        <f t="shared" ca="1" si="10"/>
        <v>203224107.73606873</v>
      </c>
      <c r="Y57" s="123">
        <f t="shared" ca="1" si="8"/>
        <v>0</v>
      </c>
      <c r="Z57" s="100">
        <f t="shared" ca="1" si="11"/>
        <v>0.43694688695994965</v>
      </c>
      <c r="AA57" s="112">
        <f t="shared" ca="1" si="12"/>
        <v>0</v>
      </c>
    </row>
    <row r="58" spans="1:27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6">
        <f>Data!D57</f>
        <v>23252784.615384616</v>
      </c>
      <c r="E58" s="186">
        <f>Data!E57</f>
        <v>6174414.08421</v>
      </c>
      <c r="F58" s="185">
        <f ca="1">Data!F57</f>
        <v>384185.06420092238</v>
      </c>
      <c r="G58" s="185">
        <f t="shared" ca="1" si="3"/>
        <v>23636969.679585539</v>
      </c>
      <c r="H58" s="196">
        <f>Data!U57</f>
        <v>8.5000000000000018</v>
      </c>
      <c r="I58" s="187">
        <f>Data!X57</f>
        <v>158.4</v>
      </c>
      <c r="J58" s="225">
        <f t="shared" ca="1" si="14"/>
        <v>2.3899999999999997</v>
      </c>
      <c r="K58" s="225">
        <f t="shared" ca="1" si="14"/>
        <v>185.42</v>
      </c>
      <c r="L58" s="187">
        <f>Data!AG57</f>
        <v>31</v>
      </c>
      <c r="M58" s="187">
        <f>Data!AU57</f>
        <v>0</v>
      </c>
      <c r="N58" s="188">
        <f>Data!M57</f>
        <v>151.34596113997458</v>
      </c>
      <c r="O58" s="187">
        <f>Data!AX57</f>
        <v>56</v>
      </c>
      <c r="P58" s="189">
        <f>Data!K57</f>
        <v>11713.333333333328</v>
      </c>
      <c r="Q58" s="191"/>
      <c r="R58" s="190">
        <f t="shared" ca="1" si="5"/>
        <v>24799141.56997231</v>
      </c>
      <c r="S58" s="92">
        <f t="shared" ca="1" si="4"/>
        <v>1162171.8903867714</v>
      </c>
      <c r="T58" s="93">
        <f t="shared" ca="1" si="1"/>
        <v>4.9979901745524698E-2</v>
      </c>
      <c r="U58"/>
      <c r="V58">
        <f t="shared" si="13"/>
        <v>10</v>
      </c>
      <c r="W58" s="109">
        <f t="shared" ca="1" si="9"/>
        <v>182793532.31215188</v>
      </c>
      <c r="X58" s="109">
        <f t="shared" ca="1" si="10"/>
        <v>182793532.31215185</v>
      </c>
      <c r="Y58" s="123">
        <f t="shared" ca="1" si="8"/>
        <v>0</v>
      </c>
      <c r="Z58" s="100">
        <f t="shared" ca="1" si="11"/>
        <v>0.33401046109588423</v>
      </c>
      <c r="AA58" s="112">
        <f t="shared" ca="1" si="12"/>
        <v>0</v>
      </c>
    </row>
    <row r="59" spans="1:27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6">
        <f>Data!D58</f>
        <v>21319146.153846156</v>
      </c>
      <c r="E59" s="186">
        <f>Data!E58</f>
        <v>6162164.3651700001</v>
      </c>
      <c r="F59" s="185">
        <f ca="1">Data!F58</f>
        <v>397309.02246006567</v>
      </c>
      <c r="G59" s="185">
        <f t="shared" ca="1" si="3"/>
        <v>21716455.176306222</v>
      </c>
      <c r="H59" s="196">
        <f>Data!U58</f>
        <v>23.099999999999998</v>
      </c>
      <c r="I59" s="187">
        <f>Data!X58</f>
        <v>114.6</v>
      </c>
      <c r="J59" s="225">
        <f t="shared" ca="1" si="14"/>
        <v>45.749999999999993</v>
      </c>
      <c r="K59" s="225">
        <f t="shared" ca="1" si="14"/>
        <v>88.07</v>
      </c>
      <c r="L59" s="187">
        <f>Data!AG58</f>
        <v>30</v>
      </c>
      <c r="M59" s="187">
        <f>Data!AU58</f>
        <v>0</v>
      </c>
      <c r="N59" s="188">
        <f>Data!M58</f>
        <v>151.67505457908777</v>
      </c>
      <c r="O59" s="187">
        <f>Data!AX58</f>
        <v>57</v>
      </c>
      <c r="P59" s="189">
        <f>Data!K58</f>
        <v>11720.499999999995</v>
      </c>
      <c r="Q59" s="191"/>
      <c r="R59" s="190">
        <f t="shared" ca="1" si="5"/>
        <v>20758658.495555691</v>
      </c>
      <c r="S59" s="92">
        <f t="shared" ca="1" si="4"/>
        <v>-957796.68075053021</v>
      </c>
      <c r="T59" s="93">
        <f t="shared" ca="1" si="1"/>
        <v>4.4926596676937526E-2</v>
      </c>
      <c r="U59"/>
      <c r="V59">
        <f t="shared" si="13"/>
        <v>11</v>
      </c>
      <c r="W59" s="109">
        <f t="shared" ca="1" si="9"/>
        <v>195038717.04727927</v>
      </c>
      <c r="X59" s="109">
        <f t="shared" ca="1" si="10"/>
        <v>195038717.0472793</v>
      </c>
      <c r="Y59" s="123">
        <f t="shared" ca="1" si="8"/>
        <v>0</v>
      </c>
      <c r="Z59" s="100">
        <f t="shared" ca="1" si="11"/>
        <v>0.18008821934989561</v>
      </c>
      <c r="AA59" s="112">
        <f t="shared" ca="1" si="12"/>
        <v>0</v>
      </c>
    </row>
    <row r="60" spans="1:27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6">
        <f>Data!D59</f>
        <v>17917492.307692308</v>
      </c>
      <c r="E60" s="186">
        <f>Data!E59</f>
        <v>5558407.3692600001</v>
      </c>
      <c r="F60" s="185">
        <f ca="1">Data!F59</f>
        <v>410432.98071920895</v>
      </c>
      <c r="G60" s="185">
        <f t="shared" ca="1" si="3"/>
        <v>18327925.288411517</v>
      </c>
      <c r="H60" s="196">
        <f>Data!U59</f>
        <v>194.50000000000003</v>
      </c>
      <c r="I60" s="187">
        <f>Data!X59</f>
        <v>7.0999999999999979</v>
      </c>
      <c r="J60" s="225">
        <f t="shared" ca="1" si="14"/>
        <v>200.71</v>
      </c>
      <c r="K60" s="225">
        <f t="shared" ca="1" si="14"/>
        <v>17.57</v>
      </c>
      <c r="L60" s="187">
        <f>Data!AG59</f>
        <v>31</v>
      </c>
      <c r="M60" s="187">
        <f>Data!AU59</f>
        <v>0</v>
      </c>
      <c r="N60" s="188">
        <f>Data!M59</f>
        <v>152.00414801820096</v>
      </c>
      <c r="O60" s="187">
        <f>Data!AX59</f>
        <v>58</v>
      </c>
      <c r="P60" s="189">
        <f>Data!K59</f>
        <v>11727.666666666661</v>
      </c>
      <c r="Q60" s="191"/>
      <c r="R60" s="190">
        <f t="shared" ca="1" si="5"/>
        <v>18872681.887009475</v>
      </c>
      <c r="S60" s="92">
        <f t="shared" ca="1" si="4"/>
        <v>544756.59859795868</v>
      </c>
      <c r="T60" s="93">
        <f t="shared" ca="1" si="1"/>
        <v>3.0403618388276616E-2</v>
      </c>
      <c r="U60"/>
      <c r="V60">
        <f t="shared" si="13"/>
        <v>12</v>
      </c>
      <c r="W60" s="109">
        <f t="shared" ca="1" si="9"/>
        <v>217916075.32774472</v>
      </c>
      <c r="X60" s="109">
        <f t="shared" ca="1" si="10"/>
        <v>217916075.32774472</v>
      </c>
      <c r="Y60" s="123">
        <f t="shared" ca="1" si="8"/>
        <v>0</v>
      </c>
      <c r="Z60" s="100">
        <f t="shared" ca="1" si="11"/>
        <v>0.35573368592102927</v>
      </c>
      <c r="AA60" s="112">
        <f t="shared" ca="1" si="12"/>
        <v>0</v>
      </c>
    </row>
    <row r="61" spans="1:27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6">
        <f>Data!D60</f>
        <v>18378200</v>
      </c>
      <c r="E61" s="186">
        <f>Data!E60</f>
        <v>4750486.3030199995</v>
      </c>
      <c r="F61" s="185">
        <f ca="1">Data!F60</f>
        <v>423556.93897835223</v>
      </c>
      <c r="G61" s="185">
        <f t="shared" ca="1" si="3"/>
        <v>18801756.938978352</v>
      </c>
      <c r="H61" s="196">
        <f>Data!U60</f>
        <v>325.2</v>
      </c>
      <c r="I61" s="187">
        <f>Data!X60</f>
        <v>0.89999999999999858</v>
      </c>
      <c r="J61" s="225">
        <f t="shared" ca="1" si="14"/>
        <v>400.69</v>
      </c>
      <c r="K61" s="225">
        <f t="shared" ca="1" si="14"/>
        <v>0.43999999999999984</v>
      </c>
      <c r="L61" s="187">
        <f>Data!AG60</f>
        <v>30</v>
      </c>
      <c r="M61" s="187">
        <f>Data!AU60</f>
        <v>0</v>
      </c>
      <c r="N61" s="188">
        <f>Data!M60</f>
        <v>152.33324145731416</v>
      </c>
      <c r="O61" s="187">
        <f>Data!AX60</f>
        <v>59</v>
      </c>
      <c r="P61" s="189">
        <f>Data!K60</f>
        <v>11734.833333333327</v>
      </c>
      <c r="Q61" s="191"/>
      <c r="R61" s="190">
        <f t="shared" ca="1" si="5"/>
        <v>19611854.520112228</v>
      </c>
      <c r="S61" s="92">
        <f t="shared" ca="1" si="4"/>
        <v>810097.581133876</v>
      </c>
      <c r="T61" s="93">
        <f t="shared" ca="1" si="1"/>
        <v>4.4079266801638678E-2</v>
      </c>
      <c r="U61"/>
      <c r="W61" s="109"/>
      <c r="X61" s="109"/>
      <c r="Y61" s="123"/>
      <c r="AA61" s="112"/>
    </row>
    <row r="62" spans="1:27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6">
        <f>Data!D61</f>
        <v>20053746.153846152</v>
      </c>
      <c r="E62" s="186">
        <f>Data!E61</f>
        <v>4791973.1588400006</v>
      </c>
      <c r="F62" s="185">
        <f ca="1">Data!F61</f>
        <v>436680.89723749558</v>
      </c>
      <c r="G62" s="185">
        <f t="shared" ca="1" si="3"/>
        <v>20490427.051083647</v>
      </c>
      <c r="H62" s="196">
        <f>Data!U61</f>
        <v>417.30000000000007</v>
      </c>
      <c r="I62" s="187">
        <f>Data!X61</f>
        <v>0</v>
      </c>
      <c r="J62" s="225">
        <f t="shared" ca="1" si="14"/>
        <v>549.42000000000007</v>
      </c>
      <c r="K62" s="225">
        <f t="shared" ca="1" si="14"/>
        <v>0</v>
      </c>
      <c r="L62" s="187">
        <f>Data!AG61</f>
        <v>31</v>
      </c>
      <c r="M62" s="187">
        <f>Data!AU61</f>
        <v>0</v>
      </c>
      <c r="N62" s="188">
        <f>Data!M61</f>
        <v>152.66233489642735</v>
      </c>
      <c r="O62" s="187">
        <f>Data!AX61</f>
        <v>60</v>
      </c>
      <c r="P62" s="189">
        <f>Data!K61</f>
        <v>11706</v>
      </c>
      <c r="Q62" s="191"/>
      <c r="R62" s="190">
        <f t="shared" ca="1" si="5"/>
        <v>21944863.624649886</v>
      </c>
      <c r="S62" s="92">
        <f t="shared" ca="1" si="4"/>
        <v>1454436.5735662393</v>
      </c>
      <c r="T62" s="93">
        <f t="shared" ca="1" si="1"/>
        <v>7.252692651080006E-2</v>
      </c>
      <c r="U62"/>
      <c r="V62">
        <v>2011</v>
      </c>
      <c r="W62" s="109">
        <f t="shared" ref="W62:W71" ca="1" si="15">SUMIFS(G:G,B:B,V62)</f>
        <v>255303225.45993498</v>
      </c>
      <c r="X62" s="109">
        <f t="shared" ref="X62:X71" ca="1" si="16">SUMIFS(R:R,B:B,V62)</f>
        <v>251883429.70265448</v>
      </c>
      <c r="Y62" s="123">
        <f ca="1">W62-X62</f>
        <v>3419795.7572804987</v>
      </c>
      <c r="Z62" s="100">
        <f ca="1">SUMIFS($T$2:$T$121,$B$4:$B$123,V62)</f>
        <v>0.26574698058053997</v>
      </c>
      <c r="AA62" s="112">
        <f ca="1">ABS(Y62/W62)</f>
        <v>1.3395035456836291E-2</v>
      </c>
    </row>
    <row r="63" spans="1:27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6">
        <f>Data!D62</f>
        <v>22182546.149999999</v>
      </c>
      <c r="E63" s="186">
        <f>Data!E62</f>
        <v>5334292.6764200004</v>
      </c>
      <c r="F63" s="185">
        <f ca="1">Data!F62</f>
        <v>471046.14177012874</v>
      </c>
      <c r="G63" s="185">
        <f t="shared" ca="1" si="3"/>
        <v>22653592.291770127</v>
      </c>
      <c r="H63" s="196">
        <f>Data!U62</f>
        <v>644.9</v>
      </c>
      <c r="I63" s="187">
        <f>Data!X62</f>
        <v>0</v>
      </c>
      <c r="J63" s="225">
        <f t="shared" ca="1" si="14"/>
        <v>671.55</v>
      </c>
      <c r="K63" s="225">
        <f t="shared" ca="1" si="14"/>
        <v>0</v>
      </c>
      <c r="L63" s="187">
        <f>Data!AG62</f>
        <v>31</v>
      </c>
      <c r="M63" s="187">
        <f>Data!AU62</f>
        <v>0</v>
      </c>
      <c r="N63" s="188">
        <f>Data!M62</f>
        <v>152.94849526537982</v>
      </c>
      <c r="O63" s="187">
        <f>Data!AX62</f>
        <v>61</v>
      </c>
      <c r="P63" s="189">
        <f>Data!K62</f>
        <v>11716.916666666666</v>
      </c>
      <c r="Q63" s="191"/>
      <c r="R63" s="190">
        <f t="shared" ca="1" si="5"/>
        <v>22946967.516456325</v>
      </c>
      <c r="S63" s="92">
        <f t="shared" ca="1" si="4"/>
        <v>293375.22468619794</v>
      </c>
      <c r="T63" s="93">
        <f t="shared" ca="1" si="1"/>
        <v>1.3225498222898905E-2</v>
      </c>
      <c r="U63"/>
      <c r="V63">
        <f>V62+1</f>
        <v>2012</v>
      </c>
      <c r="W63" s="109">
        <f t="shared" ca="1" si="15"/>
        <v>248033188.74334189</v>
      </c>
      <c r="X63" s="109">
        <f t="shared" ca="1" si="16"/>
        <v>247861432.85265648</v>
      </c>
      <c r="Y63" s="123">
        <f t="shared" ref="Y63:Y71" ca="1" si="17">W63-X63</f>
        <v>171755.89068540931</v>
      </c>
      <c r="Z63" s="100">
        <f t="shared" ref="Z63:Z71" ca="1" si="18">SUMIFS($T$2:$T$121,$B$4:$B$123,V63)</f>
        <v>0.50453188670280857</v>
      </c>
      <c r="AA63" s="112">
        <f t="shared" ca="1" si="12"/>
        <v>6.9247140495838123E-4</v>
      </c>
    </row>
    <row r="64" spans="1:27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6">
        <f>Data!D63</f>
        <v>19893038.460000001</v>
      </c>
      <c r="E64" s="186">
        <f>Data!E63</f>
        <v>5987933.8334400002</v>
      </c>
      <c r="F64" s="185">
        <f ca="1">Data!F63</f>
        <v>483582.94839471672</v>
      </c>
      <c r="G64" s="185">
        <f t="shared" ca="1" si="3"/>
        <v>20376621.408394717</v>
      </c>
      <c r="H64" s="196">
        <f>Data!U63</f>
        <v>550.19999999999993</v>
      </c>
      <c r="I64" s="187">
        <f>Data!X63</f>
        <v>0</v>
      </c>
      <c r="J64" s="225">
        <f t="shared" ca="1" si="14"/>
        <v>591.43000000000006</v>
      </c>
      <c r="K64" s="225">
        <f t="shared" ca="1" si="14"/>
        <v>0</v>
      </c>
      <c r="L64" s="187">
        <f>Data!AG63</f>
        <v>29</v>
      </c>
      <c r="M64" s="187">
        <f>Data!AU63</f>
        <v>0</v>
      </c>
      <c r="N64" s="188">
        <f>Data!M63</f>
        <v>153.23465563433228</v>
      </c>
      <c r="O64" s="187">
        <f>Data!AX63</f>
        <v>62</v>
      </c>
      <c r="P64" s="189">
        <f>Data!K63</f>
        <v>11727.833333333332</v>
      </c>
      <c r="Q64" s="191"/>
      <c r="R64" s="190">
        <f t="shared" ca="1" si="5"/>
        <v>20830499.851689722</v>
      </c>
      <c r="S64" s="92">
        <f t="shared" ca="1" si="4"/>
        <v>453878.44329500571</v>
      </c>
      <c r="T64" s="93">
        <f t="shared" ca="1" si="1"/>
        <v>2.2815943587885953E-2</v>
      </c>
      <c r="U64"/>
      <c r="V64">
        <f t="shared" ref="V64:V71" si="19">V63+1</f>
        <v>2013</v>
      </c>
      <c r="W64" s="109">
        <f t="shared" ca="1" si="15"/>
        <v>249734207.74271581</v>
      </c>
      <c r="X64" s="109">
        <f t="shared" ca="1" si="16"/>
        <v>249791975.9498336</v>
      </c>
      <c r="Y64" s="123">
        <f t="shared" ca="1" si="17"/>
        <v>-57768.207117795944</v>
      </c>
      <c r="Z64" s="100">
        <f t="shared" ca="1" si="18"/>
        <v>0.26082011946961808</v>
      </c>
      <c r="AA64" s="112">
        <f t="shared" ca="1" si="12"/>
        <v>2.31318759412049E-4</v>
      </c>
    </row>
    <row r="65" spans="1:33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6">
        <f>Data!D64</f>
        <v>19158792.309999999</v>
      </c>
      <c r="E65" s="186">
        <f>Data!E64</f>
        <v>5265686.2439099997</v>
      </c>
      <c r="F65" s="185">
        <f ca="1">Data!F64</f>
        <v>496119.75501930469</v>
      </c>
      <c r="G65" s="185">
        <f t="shared" ca="1" si="3"/>
        <v>19654912.065019302</v>
      </c>
      <c r="H65" s="196">
        <f>Data!U64</f>
        <v>404.4</v>
      </c>
      <c r="I65" s="187">
        <f>Data!X64</f>
        <v>0</v>
      </c>
      <c r="J65" s="225">
        <f t="shared" ca="1" si="14"/>
        <v>493.21999999999997</v>
      </c>
      <c r="K65" s="225">
        <f t="shared" ca="1" si="14"/>
        <v>1.5699999999999998</v>
      </c>
      <c r="L65" s="187">
        <f>Data!AG64</f>
        <v>31</v>
      </c>
      <c r="M65" s="187">
        <f>Data!AU64</f>
        <v>1</v>
      </c>
      <c r="N65" s="188">
        <f>Data!M64</f>
        <v>153.52081600328475</v>
      </c>
      <c r="O65" s="187">
        <f>Data!AX64</f>
        <v>63</v>
      </c>
      <c r="P65" s="189">
        <f>Data!K64</f>
        <v>11738.749999999998</v>
      </c>
      <c r="Q65" s="191"/>
      <c r="R65" s="190">
        <f t="shared" ca="1" si="5"/>
        <v>20704119.068344839</v>
      </c>
      <c r="S65" s="92">
        <f t="shared" ca="1" si="4"/>
        <v>1049207.0033255368</v>
      </c>
      <c r="T65" s="93">
        <f t="shared" ca="1" si="1"/>
        <v>5.4763733869482974E-2</v>
      </c>
      <c r="U65"/>
      <c r="V65">
        <f t="shared" si="19"/>
        <v>2014</v>
      </c>
      <c r="W65" s="109">
        <f t="shared" ca="1" si="15"/>
        <v>252594778.76237547</v>
      </c>
      <c r="X65" s="109">
        <f t="shared" ca="1" si="16"/>
        <v>254542450.92784041</v>
      </c>
      <c r="Y65" s="123">
        <f t="shared" ca="1" si="17"/>
        <v>-1947672.1654649377</v>
      </c>
      <c r="Z65" s="100">
        <f t="shared" ca="1" si="18"/>
        <v>0.63436527506877249</v>
      </c>
      <c r="AA65" s="112">
        <f t="shared" ca="1" si="12"/>
        <v>7.7106588465835997E-3</v>
      </c>
    </row>
    <row r="66" spans="1:33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6">
        <f>Data!D65</f>
        <v>17454523.079999998</v>
      </c>
      <c r="E66" s="186">
        <f>Data!E65</f>
        <v>5097503.1288600005</v>
      </c>
      <c r="F66" s="185">
        <f ca="1">Data!F65</f>
        <v>508656.56164389261</v>
      </c>
      <c r="G66" s="185">
        <f t="shared" ca="1" si="3"/>
        <v>17963179.641643889</v>
      </c>
      <c r="H66" s="196">
        <f>Data!U65</f>
        <v>332.09999999999997</v>
      </c>
      <c r="I66" s="187">
        <f>Data!X65</f>
        <v>0</v>
      </c>
      <c r="J66" s="225">
        <f t="shared" ca="1" si="14"/>
        <v>298.61</v>
      </c>
      <c r="K66" s="225">
        <f t="shared" ca="1" si="14"/>
        <v>1.4</v>
      </c>
      <c r="L66" s="187">
        <f>Data!AG65</f>
        <v>30</v>
      </c>
      <c r="M66" s="187">
        <f>Data!AU65</f>
        <v>1</v>
      </c>
      <c r="N66" s="188">
        <f>Data!M65</f>
        <v>153.80697637223722</v>
      </c>
      <c r="O66" s="187">
        <f>Data!AX65</f>
        <v>64</v>
      </c>
      <c r="P66" s="189">
        <f>Data!K65</f>
        <v>11749.666666666664</v>
      </c>
      <c r="Q66" s="191"/>
      <c r="R66" s="190">
        <f t="shared" ca="1" si="5"/>
        <v>17658207.8297261</v>
      </c>
      <c r="S66" s="92">
        <f t="shared" ca="1" si="4"/>
        <v>-304971.81191778928</v>
      </c>
      <c r="T66" s="93">
        <f t="shared" ca="1" si="1"/>
        <v>1.7472365788512242E-2</v>
      </c>
      <c r="U66"/>
      <c r="V66">
        <f t="shared" si="19"/>
        <v>2015</v>
      </c>
      <c r="W66" s="109">
        <f t="shared" ca="1" si="15"/>
        <v>252092843.36790034</v>
      </c>
      <c r="X66" s="109">
        <f t="shared" ca="1" si="16"/>
        <v>254506672.07402027</v>
      </c>
      <c r="Y66" s="123">
        <f t="shared" ca="1" si="17"/>
        <v>-2413828.7061199248</v>
      </c>
      <c r="Z66" s="100">
        <f t="shared" ca="1" si="18"/>
        <v>0.56050611333832323</v>
      </c>
      <c r="AA66" s="112">
        <f t="shared" ca="1" si="12"/>
        <v>9.5751576041261163E-3</v>
      </c>
    </row>
    <row r="67" spans="1:33" x14ac:dyDescent="0.2">
      <c r="A67" s="97">
        <f>Purchases!A126</f>
        <v>42491</v>
      </c>
      <c r="B67" s="118">
        <f t="shared" ref="B67:B130" si="20">YEAR(A67)</f>
        <v>2016</v>
      </c>
      <c r="C67" s="118">
        <f t="shared" si="2"/>
        <v>5</v>
      </c>
      <c r="D67" s="186">
        <f>Data!D66</f>
        <v>17779684.620000001</v>
      </c>
      <c r="E67" s="186">
        <f>Data!E66</f>
        <v>4682979.8852999993</v>
      </c>
      <c r="F67" s="185">
        <f ca="1">Data!F66</f>
        <v>521193.36826848052</v>
      </c>
      <c r="G67" s="185">
        <f t="shared" ca="1" si="3"/>
        <v>18300877.98826848</v>
      </c>
      <c r="H67" s="196">
        <f>Data!U66</f>
        <v>126.6</v>
      </c>
      <c r="I67" s="187">
        <f>Data!X66</f>
        <v>55.2</v>
      </c>
      <c r="J67" s="225">
        <f t="shared" ca="1" si="14"/>
        <v>105.4</v>
      </c>
      <c r="K67" s="225">
        <f t="shared" ca="1" si="14"/>
        <v>59.319999999999993</v>
      </c>
      <c r="L67" s="187">
        <f>Data!AG66</f>
        <v>31</v>
      </c>
      <c r="M67" s="187">
        <f>Data!AU66</f>
        <v>1</v>
      </c>
      <c r="N67" s="188">
        <f>Data!M66</f>
        <v>154.09313674118968</v>
      </c>
      <c r="O67" s="187">
        <f>Data!AX66</f>
        <v>65</v>
      </c>
      <c r="P67" s="189">
        <f>Data!K66</f>
        <v>11760.58333333333</v>
      </c>
      <c r="Q67" s="191"/>
      <c r="R67" s="190">
        <f t="shared" ca="1" si="5"/>
        <v>18254962.410093617</v>
      </c>
      <c r="S67" s="92">
        <f t="shared" ca="1" si="4"/>
        <v>-45915.578174863011</v>
      </c>
      <c r="T67" s="93">
        <f t="shared" ref="T67:T122" ca="1" si="21">ABS(S67/D67)</f>
        <v>2.5824742764679596E-3</v>
      </c>
      <c r="U67"/>
      <c r="V67">
        <f t="shared" si="19"/>
        <v>2016</v>
      </c>
      <c r="W67" s="109">
        <f t="shared" ca="1" si="15"/>
        <v>251450113.71846434</v>
      </c>
      <c r="X67" s="109">
        <f t="shared" ca="1" si="16"/>
        <v>249226429.13701653</v>
      </c>
      <c r="Y67" s="123">
        <f t="shared" ca="1" si="17"/>
        <v>2223684.5814478099</v>
      </c>
      <c r="Z67" s="100">
        <f t="shared" ca="1" si="18"/>
        <v>0.38730014269104024</v>
      </c>
      <c r="AA67" s="112">
        <f t="shared" ca="1" si="12"/>
        <v>8.8434423375825331E-3</v>
      </c>
    </row>
    <row r="68" spans="1:33" x14ac:dyDescent="0.2">
      <c r="A68" s="97">
        <f>Purchases!A127</f>
        <v>42522</v>
      </c>
      <c r="B68" s="118">
        <f t="shared" si="20"/>
        <v>2016</v>
      </c>
      <c r="C68" s="118">
        <f t="shared" ref="C68:C131" si="22">MONTH(A68)</f>
        <v>6</v>
      </c>
      <c r="D68" s="186">
        <f>Data!D67</f>
        <v>21050084.620000001</v>
      </c>
      <c r="E68" s="186">
        <f>Data!E67</f>
        <v>4512661.5249999994</v>
      </c>
      <c r="F68" s="185">
        <f ca="1">Data!F67</f>
        <v>533730.1748930685</v>
      </c>
      <c r="G68" s="185">
        <f t="shared" ref="G68:G122" ca="1" si="23">D68+F68</f>
        <v>21583814.794893071</v>
      </c>
      <c r="H68" s="196">
        <f>Data!U67</f>
        <v>6.7999999999999989</v>
      </c>
      <c r="I68" s="187">
        <f>Data!X67</f>
        <v>155.4</v>
      </c>
      <c r="J68" s="225">
        <f t="shared" ca="1" si="14"/>
        <v>12.239999999999998</v>
      </c>
      <c r="K68" s="225">
        <f t="shared" ca="1" si="14"/>
        <v>147.38999999999999</v>
      </c>
      <c r="L68" s="187">
        <f>Data!AG67</f>
        <v>30</v>
      </c>
      <c r="M68" s="187">
        <f>Data!AU67</f>
        <v>0</v>
      </c>
      <c r="N68" s="188">
        <f>Data!M67</f>
        <v>154.37929711014215</v>
      </c>
      <c r="O68" s="187">
        <f>Data!AX67</f>
        <v>66</v>
      </c>
      <c r="P68" s="189">
        <f>Data!K67</f>
        <v>11771.499999999996</v>
      </c>
      <c r="Q68" s="191"/>
      <c r="R68" s="190">
        <f t="shared" ref="R68:R121" ca="1" si="24">G68+(J68-H68)*$V$18+(K68-I68)*$V$19</f>
        <v>21279238.794873931</v>
      </c>
      <c r="S68" s="92">
        <f t="shared" ref="S68:S122" ca="1" si="25">R68-G68</f>
        <v>-304576.00001914054</v>
      </c>
      <c r="T68" s="93">
        <f t="shared" ca="1" si="21"/>
        <v>1.446911048185328E-2</v>
      </c>
      <c r="U68"/>
      <c r="V68">
        <f t="shared" si="19"/>
        <v>2017</v>
      </c>
      <c r="W68" s="109">
        <f t="shared" ca="1" si="15"/>
        <v>244683832.28859466</v>
      </c>
      <c r="X68" s="109">
        <f t="shared" ca="1" si="16"/>
        <v>250470874.32449886</v>
      </c>
      <c r="Y68" s="123">
        <f t="shared" ca="1" si="17"/>
        <v>-5787042.0359041989</v>
      </c>
      <c r="Z68" s="100">
        <f t="shared" ca="1" si="18"/>
        <v>0.50227616198669034</v>
      </c>
      <c r="AA68" s="112">
        <f t="shared" ca="1" si="12"/>
        <v>2.3651101021985865E-2</v>
      </c>
    </row>
    <row r="69" spans="1:33" x14ac:dyDescent="0.2">
      <c r="A69" s="97">
        <f>Purchases!A128</f>
        <v>42552</v>
      </c>
      <c r="B69" s="118">
        <f t="shared" si="20"/>
        <v>2016</v>
      </c>
      <c r="C69" s="118">
        <f t="shared" si="22"/>
        <v>7</v>
      </c>
      <c r="D69" s="186">
        <f>Data!D68</f>
        <v>25290492.309999999</v>
      </c>
      <c r="E69" s="186">
        <f>Data!E68</f>
        <v>5292771.1205000002</v>
      </c>
      <c r="F69" s="185">
        <f ca="1">Data!F68</f>
        <v>546266.98151765647</v>
      </c>
      <c r="G69" s="185">
        <f t="shared" ca="1" si="23"/>
        <v>25836759.291517656</v>
      </c>
      <c r="H69" s="196">
        <f>Data!U68</f>
        <v>0</v>
      </c>
      <c r="I69" s="187">
        <f>Data!X68</f>
        <v>240.29999999999998</v>
      </c>
      <c r="J69" s="225">
        <f t="shared" ca="1" si="14"/>
        <v>1.0100000000000002</v>
      </c>
      <c r="K69" s="225">
        <f t="shared" ca="1" si="14"/>
        <v>229.98999999999995</v>
      </c>
      <c r="L69" s="187">
        <f>Data!AG68</f>
        <v>31</v>
      </c>
      <c r="M69" s="187">
        <f>Data!AU68</f>
        <v>0</v>
      </c>
      <c r="N69" s="188">
        <f>Data!M68</f>
        <v>154.66545747909461</v>
      </c>
      <c r="O69" s="187">
        <f>Data!AX68</f>
        <v>67</v>
      </c>
      <c r="P69" s="189">
        <f>Data!K68</f>
        <v>11782.416666666662</v>
      </c>
      <c r="Q69" s="191"/>
      <c r="R69" s="190">
        <f t="shared" ca="1" si="24"/>
        <v>25378763.849957198</v>
      </c>
      <c r="S69" s="92">
        <f t="shared" ca="1" si="25"/>
        <v>-457995.44156045839</v>
      </c>
      <c r="T69" s="93">
        <f t="shared" ca="1" si="21"/>
        <v>1.810939209670365E-2</v>
      </c>
      <c r="U69"/>
      <c r="V69">
        <f t="shared" si="19"/>
        <v>2018</v>
      </c>
      <c r="W69" s="109">
        <f t="shared" ca="1" si="15"/>
        <v>262666152.22045165</v>
      </c>
      <c r="X69" s="109">
        <f t="shared" ca="1" si="16"/>
        <v>255968641.79926041</v>
      </c>
      <c r="Y69" s="123">
        <f t="shared" ca="1" si="17"/>
        <v>6697510.4211912453</v>
      </c>
      <c r="Z69" s="100">
        <f t="shared" ca="1" si="18"/>
        <v>0.42583622439528485</v>
      </c>
      <c r="AA69" s="112">
        <f t="shared" ca="1" si="12"/>
        <v>2.5498186060799063E-2</v>
      </c>
    </row>
    <row r="70" spans="1:33" x14ac:dyDescent="0.2">
      <c r="A70" s="97">
        <f>Purchases!A129</f>
        <v>42583</v>
      </c>
      <c r="B70" s="118">
        <f t="shared" si="20"/>
        <v>2016</v>
      </c>
      <c r="C70" s="118">
        <f t="shared" si="22"/>
        <v>8</v>
      </c>
      <c r="D70" s="186">
        <f>Data!D69</f>
        <v>26373046.149999999</v>
      </c>
      <c r="E70" s="186">
        <f>Data!E69</f>
        <v>6479248.5064000003</v>
      </c>
      <c r="F70" s="185">
        <f ca="1">Data!F69</f>
        <v>558803.78814224433</v>
      </c>
      <c r="G70" s="185">
        <f t="shared" ca="1" si="23"/>
        <v>26931849.938142244</v>
      </c>
      <c r="H70" s="196">
        <f>Data!U69</f>
        <v>0</v>
      </c>
      <c r="I70" s="187">
        <f>Data!X69</f>
        <v>236.90000000000003</v>
      </c>
      <c r="J70" s="225">
        <f t="shared" ca="1" si="14"/>
        <v>2.3899999999999997</v>
      </c>
      <c r="K70" s="225">
        <f t="shared" ca="1" si="14"/>
        <v>185.42</v>
      </c>
      <c r="L70" s="187">
        <f>Data!AG69</f>
        <v>31</v>
      </c>
      <c r="M70" s="187">
        <f>Data!AU69</f>
        <v>0</v>
      </c>
      <c r="N70" s="188">
        <f>Data!M69</f>
        <v>154.95161784804708</v>
      </c>
      <c r="O70" s="187">
        <f>Data!AX69</f>
        <v>68</v>
      </c>
      <c r="P70" s="189">
        <f>Data!K69</f>
        <v>11793.333333333328</v>
      </c>
      <c r="Q70" s="191"/>
      <c r="R70" s="190">
        <f t="shared" ca="1" si="24"/>
        <v>24615775.311078846</v>
      </c>
      <c r="S70" s="92">
        <f t="shared" ca="1" si="25"/>
        <v>-2316074.6270633973</v>
      </c>
      <c r="T70" s="93">
        <f t="shared" ca="1" si="21"/>
        <v>8.781976165705066E-2</v>
      </c>
      <c r="U70"/>
      <c r="V70">
        <f t="shared" si="19"/>
        <v>2019</v>
      </c>
      <c r="W70" s="109">
        <f t="shared" ca="1" si="15"/>
        <v>259812389.39087972</v>
      </c>
      <c r="X70" s="109">
        <f t="shared" ca="1" si="16"/>
        <v>260534240.97407278</v>
      </c>
      <c r="Y70" s="123">
        <f t="shared" ca="1" si="17"/>
        <v>-721851.58319306374</v>
      </c>
      <c r="Z70" s="100">
        <f t="shared" ca="1" si="18"/>
        <v>0.34962487621205796</v>
      </c>
      <c r="AA70" s="112">
        <f t="shared" ca="1" si="12"/>
        <v>2.7783570478891223E-3</v>
      </c>
    </row>
    <row r="71" spans="1:33" x14ac:dyDescent="0.2">
      <c r="A71" s="97">
        <f>Purchases!A130</f>
        <v>42614</v>
      </c>
      <c r="B71" s="118">
        <f t="shared" si="20"/>
        <v>2016</v>
      </c>
      <c r="C71" s="118">
        <f t="shared" si="22"/>
        <v>9</v>
      </c>
      <c r="D71" s="186">
        <f>Data!D70</f>
        <v>19870438.460000001</v>
      </c>
      <c r="E71" s="186">
        <f>Data!E70</f>
        <v>6282145.3443000009</v>
      </c>
      <c r="F71" s="185">
        <f ca="1">Data!F70</f>
        <v>571340.59476683231</v>
      </c>
      <c r="G71" s="185">
        <f t="shared" ca="1" si="23"/>
        <v>20441779.054766834</v>
      </c>
      <c r="H71" s="196">
        <f>Data!U70</f>
        <v>19.399999999999995</v>
      </c>
      <c r="I71" s="187">
        <f>Data!X70</f>
        <v>104.9</v>
      </c>
      <c r="J71" s="225">
        <f t="shared" ca="1" si="14"/>
        <v>45.749999999999993</v>
      </c>
      <c r="K71" s="225">
        <f t="shared" ca="1" si="14"/>
        <v>88.07</v>
      </c>
      <c r="L71" s="187">
        <f>Data!AG70</f>
        <v>30</v>
      </c>
      <c r="M71" s="187">
        <f>Data!AU70</f>
        <v>0</v>
      </c>
      <c r="N71" s="188">
        <f>Data!M70</f>
        <v>155.23777821699954</v>
      </c>
      <c r="O71" s="187">
        <f>Data!AX70</f>
        <v>69</v>
      </c>
      <c r="P71" s="189">
        <f>Data!K70</f>
        <v>11804.249999999995</v>
      </c>
      <c r="Q71" s="191"/>
      <c r="R71" s="190">
        <f t="shared" ca="1" si="24"/>
        <v>19966072.089616708</v>
      </c>
      <c r="S71" s="92">
        <f t="shared" ca="1" si="25"/>
        <v>-475706.96515012532</v>
      </c>
      <c r="T71" s="93">
        <f t="shared" ca="1" si="21"/>
        <v>2.3940436246927453E-2</v>
      </c>
      <c r="U71"/>
      <c r="V71">
        <f t="shared" si="19"/>
        <v>2020</v>
      </c>
      <c r="W71" s="109">
        <f t="shared" ca="1" si="15"/>
        <v>256549647.49846897</v>
      </c>
      <c r="X71" s="109">
        <f t="shared" ca="1" si="16"/>
        <v>258134231.45127404</v>
      </c>
      <c r="Y71" s="123">
        <f t="shared" ca="1" si="17"/>
        <v>-1584583.9528050721</v>
      </c>
      <c r="Z71" s="100">
        <f t="shared" ca="1" si="18"/>
        <v>0.37139248423715804</v>
      </c>
      <c r="AA71" s="112">
        <f t="shared" ca="1" si="12"/>
        <v>6.1765197039084941E-3</v>
      </c>
      <c r="AB71" s="112">
        <f ca="1">AVERAGE(AA62:AA71)</f>
        <v>9.8552248244081504E-3</v>
      </c>
    </row>
    <row r="72" spans="1:33" x14ac:dyDescent="0.2">
      <c r="A72" s="97">
        <f>Purchases!A131</f>
        <v>42644</v>
      </c>
      <c r="B72" s="118">
        <f t="shared" si="20"/>
        <v>2016</v>
      </c>
      <c r="C72" s="118">
        <f t="shared" si="22"/>
        <v>10</v>
      </c>
      <c r="D72" s="186">
        <f>Data!D71</f>
        <v>16662107.689999999</v>
      </c>
      <c r="E72" s="186">
        <f>Data!E71</f>
        <v>4626531.6867999993</v>
      </c>
      <c r="F72" s="185">
        <f ca="1">Data!F71</f>
        <v>583877.40139142028</v>
      </c>
      <c r="G72" s="185">
        <f t="shared" ca="1" si="23"/>
        <v>17245985.091391418</v>
      </c>
      <c r="H72" s="196">
        <f>Data!U71</f>
        <v>173.20000000000002</v>
      </c>
      <c r="I72" s="187">
        <f>Data!X71</f>
        <v>29.9</v>
      </c>
      <c r="J72" s="225">
        <f t="shared" ca="1" si="14"/>
        <v>200.71</v>
      </c>
      <c r="K72" s="225">
        <f t="shared" ca="1" si="14"/>
        <v>17.57</v>
      </c>
      <c r="L72" s="187">
        <f>Data!AG71</f>
        <v>31</v>
      </c>
      <c r="M72" s="187">
        <f>Data!AU71</f>
        <v>0</v>
      </c>
      <c r="N72" s="188">
        <f>Data!M71</f>
        <v>155.52393858595201</v>
      </c>
      <c r="O72" s="187">
        <f>Data!AX71</f>
        <v>70</v>
      </c>
      <c r="P72" s="189">
        <f>Data!K71</f>
        <v>11815.166666666661</v>
      </c>
      <c r="Q72" s="191"/>
      <c r="R72" s="190">
        <f t="shared" ca="1" si="24"/>
        <v>16987801.847950824</v>
      </c>
      <c r="S72" s="92">
        <f t="shared" ca="1" si="25"/>
        <v>-258183.24344059452</v>
      </c>
      <c r="T72" s="93">
        <f t="shared" ca="1" si="21"/>
        <v>1.5495233150818421E-2</v>
      </c>
      <c r="U72"/>
      <c r="Z72" s="100"/>
    </row>
    <row r="73" spans="1:33" x14ac:dyDescent="0.2">
      <c r="A73" s="97">
        <f>Purchases!A132</f>
        <v>42675</v>
      </c>
      <c r="B73" s="118">
        <f t="shared" si="20"/>
        <v>2016</v>
      </c>
      <c r="C73" s="118">
        <f t="shared" si="22"/>
        <v>11</v>
      </c>
      <c r="D73" s="186">
        <f>Data!D72</f>
        <v>17715484.620000001</v>
      </c>
      <c r="E73" s="186">
        <f>Data!E72</f>
        <v>4446124.8939999994</v>
      </c>
      <c r="F73" s="185">
        <f ca="1">Data!F72</f>
        <v>596414.20801600826</v>
      </c>
      <c r="G73" s="185">
        <f t="shared" ca="1" si="23"/>
        <v>18311898.828016009</v>
      </c>
      <c r="H73" s="196">
        <f>Data!U72</f>
        <v>315.30000000000007</v>
      </c>
      <c r="I73" s="187">
        <f>Data!X72</f>
        <v>0.10000000000000142</v>
      </c>
      <c r="J73" s="225">
        <f t="shared" ca="1" si="14"/>
        <v>400.69</v>
      </c>
      <c r="K73" s="225">
        <f t="shared" ca="1" si="14"/>
        <v>0.43999999999999984</v>
      </c>
      <c r="L73" s="187">
        <f>Data!AG72</f>
        <v>30</v>
      </c>
      <c r="M73" s="187">
        <f>Data!AU72</f>
        <v>0</v>
      </c>
      <c r="N73" s="188">
        <f>Data!M72</f>
        <v>155.81009895490448</v>
      </c>
      <c r="O73" s="187">
        <f>Data!AX72</f>
        <v>71</v>
      </c>
      <c r="P73" s="189">
        <f>Data!K72</f>
        <v>11826.083333333327</v>
      </c>
      <c r="Q73" s="191"/>
      <c r="R73" s="190">
        <f t="shared" ca="1" si="24"/>
        <v>19267380.772694666</v>
      </c>
      <c r="S73" s="92">
        <f t="shared" ca="1" si="25"/>
        <v>955481.94467865676</v>
      </c>
      <c r="T73" s="93">
        <f t="shared" ca="1" si="21"/>
        <v>5.3934846557906736E-2</v>
      </c>
      <c r="U73"/>
      <c r="W73">
        <v>2011</v>
      </c>
      <c r="X73">
        <f t="shared" ref="X73:AF73" si="26">W73+1</f>
        <v>2012</v>
      </c>
      <c r="Y73">
        <f t="shared" si="26"/>
        <v>2013</v>
      </c>
      <c r="Z73">
        <f t="shared" si="26"/>
        <v>2014</v>
      </c>
      <c r="AA73">
        <f t="shared" si="26"/>
        <v>2015</v>
      </c>
      <c r="AB73">
        <f t="shared" si="26"/>
        <v>2016</v>
      </c>
      <c r="AC73">
        <f t="shared" si="26"/>
        <v>2017</v>
      </c>
      <c r="AD73">
        <f t="shared" si="26"/>
        <v>2018</v>
      </c>
      <c r="AE73">
        <f t="shared" si="26"/>
        <v>2019</v>
      </c>
      <c r="AF73">
        <f t="shared" si="26"/>
        <v>2020</v>
      </c>
    </row>
    <row r="74" spans="1:33" x14ac:dyDescent="0.2">
      <c r="A74" s="97">
        <f>Purchases!A133</f>
        <v>42705</v>
      </c>
      <c r="B74" s="118">
        <f t="shared" si="20"/>
        <v>2016</v>
      </c>
      <c r="C74" s="118">
        <f t="shared" si="22"/>
        <v>12</v>
      </c>
      <c r="D74" s="186">
        <f>Data!D73</f>
        <v>21539892.309999999</v>
      </c>
      <c r="E74" s="186">
        <f>Data!E73</f>
        <v>4857424.7469000006</v>
      </c>
      <c r="F74" s="185">
        <f ca="1">Data!F73</f>
        <v>608951.01464059623</v>
      </c>
      <c r="G74" s="185">
        <f t="shared" ca="1" si="23"/>
        <v>22148843.324640594</v>
      </c>
      <c r="H74" s="196">
        <f>Data!U73</f>
        <v>623.19999999999993</v>
      </c>
      <c r="I74" s="187">
        <f>Data!X73</f>
        <v>0</v>
      </c>
      <c r="J74" s="225">
        <f t="shared" ca="1" si="14"/>
        <v>549.42000000000007</v>
      </c>
      <c r="K74" s="225">
        <f t="shared" ca="1" si="14"/>
        <v>0</v>
      </c>
      <c r="L74" s="187">
        <f>Data!AG73</f>
        <v>31</v>
      </c>
      <c r="M74" s="187">
        <f>Data!AU73</f>
        <v>0</v>
      </c>
      <c r="N74" s="188">
        <f>Data!M73</f>
        <v>156.09625932385694</v>
      </c>
      <c r="O74" s="187">
        <f>Data!AX73</f>
        <v>72</v>
      </c>
      <c r="P74" s="189">
        <f>Data!K73</f>
        <v>11792</v>
      </c>
      <c r="Q74" s="191"/>
      <c r="R74" s="190">
        <f t="shared" ca="1" si="24"/>
        <v>21336639.794533744</v>
      </c>
      <c r="S74" s="92">
        <f t="shared" ca="1" si="25"/>
        <v>-812203.53010684997</v>
      </c>
      <c r="T74" s="93">
        <f t="shared" ca="1" si="21"/>
        <v>3.7706944789588415E-2</v>
      </c>
      <c r="U74"/>
      <c r="V74">
        <v>1</v>
      </c>
      <c r="W74" s="109">
        <f t="shared" ref="W74:AF85" ca="1" si="27">SUMIFS($S:$S,$B:$B,W$73,$C:$C,$V74)</f>
        <v>-653351.57917920128</v>
      </c>
      <c r="X74" s="109">
        <f t="shared" ca="1" si="27"/>
        <v>932966.23985572904</v>
      </c>
      <c r="Y74" s="109">
        <f t="shared" ca="1" si="27"/>
        <v>639040.59260914475</v>
      </c>
      <c r="Z74" s="109">
        <f t="shared" ca="1" si="27"/>
        <v>-1520817.5343488939</v>
      </c>
      <c r="AA74" s="109">
        <f t="shared" ca="1" si="27"/>
        <v>-1049655.8226577416</v>
      </c>
      <c r="AB74" s="109">
        <f t="shared" ca="1" si="27"/>
        <v>293375.22468619794</v>
      </c>
      <c r="AC74" s="109">
        <f t="shared" ca="1" si="27"/>
        <v>961588.21299584582</v>
      </c>
      <c r="AD74" s="109">
        <f t="shared" ca="1" si="27"/>
        <v>-374837.76362345368</v>
      </c>
      <c r="AE74" s="109">
        <f t="shared" ca="1" si="27"/>
        <v>-443090.16111142188</v>
      </c>
      <c r="AF74" s="109">
        <f t="shared" ca="1" si="27"/>
        <v>1214782.5907737985</v>
      </c>
      <c r="AG74" s="210">
        <f ca="1">SUM(W74:AF74)</f>
        <v>3.7252902984619141E-9</v>
      </c>
    </row>
    <row r="75" spans="1:33" x14ac:dyDescent="0.2">
      <c r="A75" s="97">
        <f>Purchases!A134</f>
        <v>42736</v>
      </c>
      <c r="B75" s="118">
        <f t="shared" si="20"/>
        <v>2017</v>
      </c>
      <c r="C75" s="118">
        <f t="shared" si="22"/>
        <v>1</v>
      </c>
      <c r="D75" s="186">
        <f>Data!D74</f>
        <v>21332376.190000001</v>
      </c>
      <c r="E75" s="186">
        <f>Data!E74</f>
        <v>6043116.9052099995</v>
      </c>
      <c r="F75" s="185">
        <f ca="1">Data!F74</f>
        <v>644967.00759663025</v>
      </c>
      <c r="G75" s="185">
        <f t="shared" ca="1" si="23"/>
        <v>21977343.197596632</v>
      </c>
      <c r="H75" s="196">
        <f>Data!U74</f>
        <v>584.19999999999993</v>
      </c>
      <c r="I75" s="187">
        <f>Data!X74</f>
        <v>0</v>
      </c>
      <c r="J75" s="225">
        <f t="shared" ref="J75:K94" ca="1" si="28">J63</f>
        <v>671.55</v>
      </c>
      <c r="K75" s="225">
        <f t="shared" ca="1" si="28"/>
        <v>0</v>
      </c>
      <c r="L75" s="187">
        <f>Data!AG74</f>
        <v>31</v>
      </c>
      <c r="M75" s="187">
        <f>Data!AU74</f>
        <v>0</v>
      </c>
      <c r="N75" s="188">
        <f>Data!M74</f>
        <v>156.45449128368512</v>
      </c>
      <c r="O75" s="187">
        <f>Data!AX74</f>
        <v>73</v>
      </c>
      <c r="P75" s="189">
        <f>Data!K74</f>
        <v>11803</v>
      </c>
      <c r="Q75" s="191"/>
      <c r="R75" s="190">
        <f t="shared" ca="1" si="24"/>
        <v>22938931.410592478</v>
      </c>
      <c r="S75" s="92">
        <f t="shared" ca="1" si="25"/>
        <v>961588.21299584582</v>
      </c>
      <c r="T75" s="93">
        <f t="shared" ca="1" si="21"/>
        <v>4.5076469889304242E-2</v>
      </c>
      <c r="U75"/>
      <c r="V75">
        <v>2</v>
      </c>
      <c r="W75" s="109">
        <f t="shared" ca="1" si="27"/>
        <v>-255065.81448327005</v>
      </c>
      <c r="X75" s="109">
        <f t="shared" ca="1" si="27"/>
        <v>928342.6903484799</v>
      </c>
      <c r="Y75" s="109">
        <f t="shared" ca="1" si="27"/>
        <v>6935.3242608755827</v>
      </c>
      <c r="Z75" s="109">
        <f t="shared" ca="1" si="27"/>
        <v>-1251330.6487834901</v>
      </c>
      <c r="AA75" s="109">
        <f t="shared" ca="1" si="27"/>
        <v>-2418226.4768036306</v>
      </c>
      <c r="AB75" s="109">
        <f t="shared" ca="1" si="27"/>
        <v>453878.44329500571</v>
      </c>
      <c r="AC75" s="109">
        <f t="shared" ca="1" si="27"/>
        <v>1659303.8505422287</v>
      </c>
      <c r="AD75" s="109">
        <f t="shared" ca="1" si="27"/>
        <v>516626.61517911032</v>
      </c>
      <c r="AE75" s="109">
        <f t="shared" ca="1" si="27"/>
        <v>115918.99121747166</v>
      </c>
      <c r="AF75" s="109">
        <f t="shared" ca="1" si="27"/>
        <v>243617.02522722632</v>
      </c>
      <c r="AG75" s="210">
        <f t="shared" ref="AG75:AG85" ca="1" si="29">SUM(W75:AF75)</f>
        <v>7.4505805969238281E-9</v>
      </c>
    </row>
    <row r="76" spans="1:33" x14ac:dyDescent="0.2">
      <c r="A76" s="97">
        <f>Purchases!A135</f>
        <v>42767</v>
      </c>
      <c r="B76" s="118">
        <f t="shared" si="20"/>
        <v>2017</v>
      </c>
      <c r="C76" s="118">
        <f t="shared" si="22"/>
        <v>2</v>
      </c>
      <c r="D76" s="186">
        <f>Data!D75</f>
        <v>17869619.050000001</v>
      </c>
      <c r="E76" s="186">
        <f>Data!E75</f>
        <v>5773386.9743099995</v>
      </c>
      <c r="F76" s="185">
        <f ca="1">Data!F75</f>
        <v>658375.01058807177</v>
      </c>
      <c r="G76" s="185">
        <f t="shared" ca="1" si="23"/>
        <v>18527994.060588073</v>
      </c>
      <c r="H76" s="196">
        <f>Data!U75</f>
        <v>440.69999999999987</v>
      </c>
      <c r="I76" s="187">
        <f>Data!X75</f>
        <v>0</v>
      </c>
      <c r="J76" s="225">
        <f t="shared" ca="1" si="28"/>
        <v>591.43000000000006</v>
      </c>
      <c r="K76" s="225">
        <f t="shared" ca="1" si="28"/>
        <v>0</v>
      </c>
      <c r="L76" s="187">
        <f>Data!AG75</f>
        <v>28</v>
      </c>
      <c r="M76" s="187">
        <f>Data!AU75</f>
        <v>0</v>
      </c>
      <c r="N76" s="188">
        <f>Data!M75</f>
        <v>156.81272324351329</v>
      </c>
      <c r="O76" s="187">
        <f>Data!AX75</f>
        <v>74</v>
      </c>
      <c r="P76" s="189">
        <f>Data!K75</f>
        <v>11814</v>
      </c>
      <c r="Q76" s="191"/>
      <c r="R76" s="190">
        <f t="shared" ca="1" si="24"/>
        <v>20187297.911130302</v>
      </c>
      <c r="S76" s="92">
        <f t="shared" ca="1" si="25"/>
        <v>1659303.8505422287</v>
      </c>
      <c r="T76" s="93">
        <f t="shared" ca="1" si="21"/>
        <v>9.285614012808116E-2</v>
      </c>
      <c r="U76"/>
      <c r="V76">
        <v>3</v>
      </c>
      <c r="W76" s="109">
        <f t="shared" ca="1" si="27"/>
        <v>-224470.80140965804</v>
      </c>
      <c r="X76" s="109">
        <f t="shared" ca="1" si="27"/>
        <v>1838597.7677592486</v>
      </c>
      <c r="Y76" s="109">
        <f t="shared" ca="1" si="27"/>
        <v>-269605.45136138424</v>
      </c>
      <c r="Z76" s="109">
        <f t="shared" ca="1" si="27"/>
        <v>-1512459.5927149132</v>
      </c>
      <c r="AA76" s="109">
        <f t="shared" ca="1" si="27"/>
        <v>-722052.79599938169</v>
      </c>
      <c r="AB76" s="109">
        <f t="shared" ca="1" si="27"/>
        <v>1049207.0033255368</v>
      </c>
      <c r="AC76" s="109">
        <f t="shared" ca="1" si="27"/>
        <v>-83562.625950623304</v>
      </c>
      <c r="AD76" s="109">
        <f t="shared" ca="1" si="27"/>
        <v>-381891.6536803022</v>
      </c>
      <c r="AE76" s="109">
        <f t="shared" ca="1" si="27"/>
        <v>-547018.42179635912</v>
      </c>
      <c r="AF76" s="109">
        <f t="shared" ca="1" si="27"/>
        <v>853256.57182781398</v>
      </c>
      <c r="AG76" s="210">
        <f t="shared" ca="1" si="29"/>
        <v>-2.2351741790771484E-8</v>
      </c>
    </row>
    <row r="77" spans="1:33" x14ac:dyDescent="0.2">
      <c r="A77" s="97">
        <f>Purchases!A136</f>
        <v>42795</v>
      </c>
      <c r="B77" s="118">
        <f t="shared" si="20"/>
        <v>2017</v>
      </c>
      <c r="C77" s="118">
        <f t="shared" si="22"/>
        <v>3</v>
      </c>
      <c r="D77" s="186">
        <f>Data!D76</f>
        <v>19357285.710000001</v>
      </c>
      <c r="E77" s="186">
        <f>Data!E76</f>
        <v>4532106.3259899998</v>
      </c>
      <c r="F77" s="185">
        <f ca="1">Data!F76</f>
        <v>671783.01357951318</v>
      </c>
      <c r="G77" s="185">
        <f t="shared" ca="1" si="23"/>
        <v>20029068.723579515</v>
      </c>
      <c r="H77" s="196">
        <f>Data!U76</f>
        <v>507.30000000000007</v>
      </c>
      <c r="I77" s="187">
        <f>Data!X76</f>
        <v>0</v>
      </c>
      <c r="J77" s="225">
        <f t="shared" ca="1" si="28"/>
        <v>493.21999999999997</v>
      </c>
      <c r="K77" s="225">
        <f t="shared" ca="1" si="28"/>
        <v>1.5699999999999998</v>
      </c>
      <c r="L77" s="187">
        <f>Data!AG76</f>
        <v>31</v>
      </c>
      <c r="M77" s="187">
        <f>Data!AU76</f>
        <v>1</v>
      </c>
      <c r="N77" s="188">
        <f>Data!M76</f>
        <v>157.17095520334146</v>
      </c>
      <c r="O77" s="187">
        <f>Data!AX76</f>
        <v>75</v>
      </c>
      <c r="P77" s="189">
        <f>Data!K76</f>
        <v>11825</v>
      </c>
      <c r="Q77" s="191"/>
      <c r="R77" s="190">
        <f t="shared" ca="1" si="24"/>
        <v>19945506.097628891</v>
      </c>
      <c r="S77" s="92">
        <f t="shared" ca="1" si="25"/>
        <v>-83562.625950623304</v>
      </c>
      <c r="T77" s="93">
        <f t="shared" ca="1" si="21"/>
        <v>4.3168565677291588E-3</v>
      </c>
      <c r="U77"/>
      <c r="V77">
        <v>4</v>
      </c>
      <c r="W77" s="109">
        <f t="shared" ca="1" si="27"/>
        <v>39300.389088645577</v>
      </c>
      <c r="X77" s="109">
        <f t="shared" ca="1" si="27"/>
        <v>309448.65483460948</v>
      </c>
      <c r="Y77" s="109">
        <f t="shared" ca="1" si="27"/>
        <v>-189455.88183920458</v>
      </c>
      <c r="Z77" s="109">
        <f t="shared" ca="1" si="27"/>
        <v>217489.50067844242</v>
      </c>
      <c r="AA77" s="109">
        <f t="shared" ca="1" si="27"/>
        <v>233341.45214055851</v>
      </c>
      <c r="AB77" s="109">
        <f t="shared" ca="1" si="27"/>
        <v>-304971.81191778928</v>
      </c>
      <c r="AC77" s="109">
        <f t="shared" ca="1" si="27"/>
        <v>784283.4882120695</v>
      </c>
      <c r="AD77" s="109">
        <f t="shared" ca="1" si="27"/>
        <v>-1004008.4636091031</v>
      </c>
      <c r="AE77" s="109">
        <f t="shared" ca="1" si="27"/>
        <v>267981.66964360327</v>
      </c>
      <c r="AF77" s="109">
        <f t="shared" ca="1" si="27"/>
        <v>-353408.99723183364</v>
      </c>
      <c r="AG77" s="210">
        <f t="shared" ca="1" si="29"/>
        <v>-1.862645149230957E-9</v>
      </c>
    </row>
    <row r="78" spans="1:33" x14ac:dyDescent="0.2">
      <c r="A78" s="97">
        <f>Purchases!A137</f>
        <v>42826</v>
      </c>
      <c r="B78" s="118">
        <f t="shared" si="20"/>
        <v>2017</v>
      </c>
      <c r="C78" s="118">
        <f t="shared" si="22"/>
        <v>4</v>
      </c>
      <c r="D78" s="186">
        <f>Data!D77</f>
        <v>15858266.67</v>
      </c>
      <c r="E78" s="186">
        <f>Data!E77</f>
        <v>4999470.1251299996</v>
      </c>
      <c r="F78" s="185">
        <f ca="1">Data!F77</f>
        <v>685191.0165709547</v>
      </c>
      <c r="G78" s="185">
        <f t="shared" ca="1" si="23"/>
        <v>16543457.686570955</v>
      </c>
      <c r="H78" s="196">
        <f>Data!U77</f>
        <v>200.50000000000003</v>
      </c>
      <c r="I78" s="187">
        <f>Data!X77</f>
        <v>7.9000000000000021</v>
      </c>
      <c r="J78" s="225">
        <f t="shared" ca="1" si="28"/>
        <v>298.61</v>
      </c>
      <c r="K78" s="225">
        <f t="shared" ca="1" si="28"/>
        <v>1.4</v>
      </c>
      <c r="L78" s="187">
        <f>Data!AG77</f>
        <v>30</v>
      </c>
      <c r="M78" s="187">
        <f>Data!AU77</f>
        <v>1</v>
      </c>
      <c r="N78" s="188">
        <f>Data!M77</f>
        <v>157.52918716316964</v>
      </c>
      <c r="O78" s="187">
        <f>Data!AX77</f>
        <v>76</v>
      </c>
      <c r="P78" s="189">
        <f>Data!K77</f>
        <v>11836</v>
      </c>
      <c r="Q78" s="191"/>
      <c r="R78" s="190">
        <f t="shared" ca="1" si="24"/>
        <v>17327741.174783025</v>
      </c>
      <c r="S78" s="92">
        <f t="shared" ca="1" si="25"/>
        <v>784283.4882120695</v>
      </c>
      <c r="T78" s="93">
        <f t="shared" ca="1" si="21"/>
        <v>4.945581408942655E-2</v>
      </c>
      <c r="U78"/>
      <c r="V78">
        <v>5</v>
      </c>
      <c r="W78" s="109">
        <f t="shared" ca="1" si="27"/>
        <v>188856.75434568152</v>
      </c>
      <c r="X78" s="109">
        <f t="shared" ca="1" si="27"/>
        <v>-635798.93723165989</v>
      </c>
      <c r="Y78" s="109">
        <f t="shared" ca="1" si="27"/>
        <v>-911525.32756926864</v>
      </c>
      <c r="Z78" s="109">
        <f t="shared" ca="1" si="27"/>
        <v>305032.31838863343</v>
      </c>
      <c r="AA78" s="109">
        <f t="shared" ca="1" si="27"/>
        <v>-402135.08952772245</v>
      </c>
      <c r="AB78" s="109">
        <f t="shared" ca="1" si="27"/>
        <v>-45915.578174863011</v>
      </c>
      <c r="AC78" s="109">
        <f t="shared" ca="1" si="27"/>
        <v>634174.09564879164</v>
      </c>
      <c r="AD78" s="109">
        <f t="shared" ca="1" si="27"/>
        <v>-568650.65901981667</v>
      </c>
      <c r="AE78" s="109">
        <f t="shared" ca="1" si="27"/>
        <v>1309054.0484345518</v>
      </c>
      <c r="AF78" s="109">
        <f t="shared" ca="1" si="27"/>
        <v>126908.37470566481</v>
      </c>
      <c r="AG78" s="210">
        <f t="shared" ca="1" si="29"/>
        <v>-7.4505805969238281E-9</v>
      </c>
    </row>
    <row r="79" spans="1:33" x14ac:dyDescent="0.2">
      <c r="A79" s="97">
        <f>Purchases!A138</f>
        <v>42856</v>
      </c>
      <c r="B79" s="118">
        <f t="shared" si="20"/>
        <v>2017</v>
      </c>
      <c r="C79" s="118">
        <f t="shared" si="22"/>
        <v>5</v>
      </c>
      <c r="D79" s="186">
        <f>Data!D78</f>
        <v>16800623.809999999</v>
      </c>
      <c r="E79" s="186">
        <f>Data!E78</f>
        <v>4088277.3129600002</v>
      </c>
      <c r="F79" s="185">
        <f ca="1">Data!F78</f>
        <v>698599.0195623961</v>
      </c>
      <c r="G79" s="185">
        <f t="shared" ca="1" si="23"/>
        <v>17499222.829562396</v>
      </c>
      <c r="H79" s="196">
        <f>Data!U78</f>
        <v>135.5</v>
      </c>
      <c r="I79" s="187">
        <f>Data!X78</f>
        <v>38.100000000000009</v>
      </c>
      <c r="J79" s="225">
        <f t="shared" ca="1" si="28"/>
        <v>105.4</v>
      </c>
      <c r="K79" s="225">
        <f t="shared" ca="1" si="28"/>
        <v>59.319999999999993</v>
      </c>
      <c r="L79" s="187">
        <f>Data!AG78</f>
        <v>31</v>
      </c>
      <c r="M79" s="187">
        <f>Data!AU78</f>
        <v>1</v>
      </c>
      <c r="N79" s="188">
        <f>Data!M78</f>
        <v>157.88741912299781</v>
      </c>
      <c r="O79" s="187">
        <f>Data!AX78</f>
        <v>77</v>
      </c>
      <c r="P79" s="189">
        <f>Data!K78</f>
        <v>11847</v>
      </c>
      <c r="Q79" s="191"/>
      <c r="R79" s="190">
        <f t="shared" ca="1" si="24"/>
        <v>18133396.925211187</v>
      </c>
      <c r="S79" s="92">
        <f t="shared" ca="1" si="25"/>
        <v>634174.09564879164</v>
      </c>
      <c r="T79" s="93">
        <f t="shared" ca="1" si="21"/>
        <v>3.774705646770813E-2</v>
      </c>
      <c r="U79"/>
      <c r="V79">
        <v>6</v>
      </c>
      <c r="W79" s="109">
        <f t="shared" ca="1" si="27"/>
        <v>-354554.15022524446</v>
      </c>
      <c r="X79" s="109">
        <f t="shared" ca="1" si="27"/>
        <v>-1743945.5715297386</v>
      </c>
      <c r="Y79" s="109">
        <f t="shared" ca="1" si="27"/>
        <v>566396.72531429678</v>
      </c>
      <c r="Z79" s="109">
        <f t="shared" ca="1" si="27"/>
        <v>-516815.22859491408</v>
      </c>
      <c r="AA79" s="109">
        <f t="shared" ca="1" si="27"/>
        <v>1496008.7466147169</v>
      </c>
      <c r="AB79" s="109">
        <f t="shared" ca="1" si="27"/>
        <v>-304576.00001914054</v>
      </c>
      <c r="AC79" s="109">
        <f t="shared" ca="1" si="27"/>
        <v>-235444.45437371731</v>
      </c>
      <c r="AD79" s="109">
        <f t="shared" ca="1" si="27"/>
        <v>-13077.014132782817</v>
      </c>
      <c r="AE79" s="109">
        <f t="shared" ca="1" si="27"/>
        <v>1886875.0237813331</v>
      </c>
      <c r="AF79" s="109">
        <f t="shared" ca="1" si="27"/>
        <v>-780868.07683482021</v>
      </c>
      <c r="AG79" s="210">
        <f t="shared" ca="1" si="29"/>
        <v>-1.1175870895385742E-8</v>
      </c>
    </row>
    <row r="80" spans="1:33" x14ac:dyDescent="0.2">
      <c r="A80" s="97">
        <f>Purchases!A139</f>
        <v>42887</v>
      </c>
      <c r="B80" s="118">
        <f t="shared" si="20"/>
        <v>2017</v>
      </c>
      <c r="C80" s="118">
        <f t="shared" si="22"/>
        <v>6</v>
      </c>
      <c r="D80" s="186">
        <f>Data!D79</f>
        <v>20337761.899999999</v>
      </c>
      <c r="E80" s="186">
        <f>Data!E79</f>
        <v>4284257.51064</v>
      </c>
      <c r="F80" s="185">
        <f ca="1">Data!F79</f>
        <v>712007.02255383763</v>
      </c>
      <c r="G80" s="185">
        <f t="shared" ca="1" si="23"/>
        <v>21049768.922553837</v>
      </c>
      <c r="H80" s="196">
        <f>Data!U79</f>
        <v>9.1999999999999957</v>
      </c>
      <c r="I80" s="187">
        <f>Data!X79</f>
        <v>153.29999999999998</v>
      </c>
      <c r="J80" s="225">
        <f t="shared" ca="1" si="28"/>
        <v>12.239999999999998</v>
      </c>
      <c r="K80" s="225">
        <f t="shared" ca="1" si="28"/>
        <v>147.38999999999999</v>
      </c>
      <c r="L80" s="187">
        <f>Data!AG79</f>
        <v>30</v>
      </c>
      <c r="M80" s="187">
        <f>Data!AU79</f>
        <v>0</v>
      </c>
      <c r="N80" s="188">
        <f>Data!M79</f>
        <v>158.24565108282599</v>
      </c>
      <c r="O80" s="187">
        <f>Data!AX79</f>
        <v>78</v>
      </c>
      <c r="P80" s="189">
        <f>Data!K79</f>
        <v>11858</v>
      </c>
      <c r="Q80" s="191"/>
      <c r="R80" s="190">
        <f t="shared" ca="1" si="24"/>
        <v>20814324.46818012</v>
      </c>
      <c r="S80" s="92">
        <f t="shared" ca="1" si="25"/>
        <v>-235444.45437371731</v>
      </c>
      <c r="T80" s="93">
        <f t="shared" ca="1" si="21"/>
        <v>1.1576714071655905E-2</v>
      </c>
      <c r="U80"/>
      <c r="V80">
        <v>7</v>
      </c>
      <c r="W80" s="109">
        <f t="shared" ca="1" si="27"/>
        <v>-3370051.1686154827</v>
      </c>
      <c r="X80" s="109">
        <f t="shared" ca="1" si="27"/>
        <v>-2255279.8356022313</v>
      </c>
      <c r="Y80" s="109">
        <f t="shared" ca="1" si="27"/>
        <v>973960.53590046614</v>
      </c>
      <c r="Z80" s="109">
        <f t="shared" ca="1" si="27"/>
        <v>3961752.8793255575</v>
      </c>
      <c r="AA80" s="109">
        <f t="shared" ca="1" si="27"/>
        <v>2262882.7294188105</v>
      </c>
      <c r="AB80" s="109">
        <f t="shared" ca="1" si="27"/>
        <v>-457995.44156045839</v>
      </c>
      <c r="AC80" s="109">
        <f t="shared" ca="1" si="27"/>
        <v>1421190.5198047422</v>
      </c>
      <c r="AD80" s="109">
        <f t="shared" ca="1" si="27"/>
        <v>231416.10337356105</v>
      </c>
      <c r="AE80" s="109">
        <f t="shared" ca="1" si="27"/>
        <v>-1063157.0223390795</v>
      </c>
      <c r="AF80" s="109">
        <f t="shared" ca="1" si="27"/>
        <v>-1704719.2997058928</v>
      </c>
      <c r="AG80" s="210">
        <f t="shared" ca="1" si="29"/>
        <v>-7.4505805969238281E-9</v>
      </c>
    </row>
    <row r="81" spans="1:33" x14ac:dyDescent="0.2">
      <c r="A81" s="97">
        <f>Purchases!A140</f>
        <v>42917</v>
      </c>
      <c r="B81" s="118">
        <f t="shared" si="20"/>
        <v>2017</v>
      </c>
      <c r="C81" s="118">
        <f t="shared" si="22"/>
        <v>7</v>
      </c>
      <c r="D81" s="186">
        <f>Data!D80</f>
        <v>24007900</v>
      </c>
      <c r="E81" s="186">
        <f>Data!E80</f>
        <v>5215450.4659299999</v>
      </c>
      <c r="F81" s="185">
        <f ca="1">Data!F80</f>
        <v>725415.02554527903</v>
      </c>
      <c r="G81" s="185">
        <f t="shared" ca="1" si="23"/>
        <v>24733315.02554528</v>
      </c>
      <c r="H81" s="196">
        <f>Data!U80</f>
        <v>0</v>
      </c>
      <c r="I81" s="187">
        <f>Data!X80</f>
        <v>198.99999999999997</v>
      </c>
      <c r="J81" s="225">
        <f t="shared" ca="1" si="28"/>
        <v>1.0100000000000002</v>
      </c>
      <c r="K81" s="225">
        <f t="shared" ca="1" si="28"/>
        <v>229.98999999999995</v>
      </c>
      <c r="L81" s="187">
        <f>Data!AG80</f>
        <v>31</v>
      </c>
      <c r="M81" s="187">
        <f>Data!AU80</f>
        <v>0</v>
      </c>
      <c r="N81" s="188">
        <f>Data!M80</f>
        <v>158.60388304265416</v>
      </c>
      <c r="O81" s="187">
        <f>Data!AX80</f>
        <v>79</v>
      </c>
      <c r="P81" s="189">
        <f>Data!K80</f>
        <v>11869</v>
      </c>
      <c r="Q81" s="191"/>
      <c r="R81" s="190">
        <f t="shared" ca="1" si="24"/>
        <v>26154505.545350023</v>
      </c>
      <c r="S81" s="92">
        <f t="shared" ca="1" si="25"/>
        <v>1421190.5198047422</v>
      </c>
      <c r="T81" s="93">
        <f t="shared" ca="1" si="21"/>
        <v>5.9196786049789535E-2</v>
      </c>
      <c r="U81"/>
      <c r="V81">
        <v>8</v>
      </c>
      <c r="W81" s="109">
        <f t="shared" ca="1" si="27"/>
        <v>-928298.06963873655</v>
      </c>
      <c r="X81" s="109">
        <f t="shared" ca="1" si="27"/>
        <v>-334291.64665827528</v>
      </c>
      <c r="Y81" s="109">
        <f t="shared" ca="1" si="27"/>
        <v>530297.70491383597</v>
      </c>
      <c r="Z81" s="109">
        <f t="shared" ca="1" si="27"/>
        <v>1414115.4422981665</v>
      </c>
      <c r="AA81" s="109">
        <f t="shared" ca="1" si="27"/>
        <v>1162171.8903867714</v>
      </c>
      <c r="AB81" s="109">
        <f t="shared" ca="1" si="27"/>
        <v>-2316074.6270633973</v>
      </c>
      <c r="AC81" s="109">
        <f t="shared" ca="1" si="27"/>
        <v>2183006.2587358616</v>
      </c>
      <c r="AD81" s="109">
        <f t="shared" ca="1" si="27"/>
        <v>-1629011.4789613485</v>
      </c>
      <c r="AE81" s="109">
        <f t="shared" ca="1" si="27"/>
        <v>-54534.644931796938</v>
      </c>
      <c r="AF81" s="109">
        <f t="shared" ca="1" si="27"/>
        <v>-27380.829081084579</v>
      </c>
      <c r="AG81" s="210">
        <f t="shared" ca="1" si="29"/>
        <v>-3.7252902984619141E-9</v>
      </c>
    </row>
    <row r="82" spans="1:33" x14ac:dyDescent="0.2">
      <c r="A82" s="97">
        <f>Purchases!A141</f>
        <v>42948</v>
      </c>
      <c r="B82" s="118">
        <f t="shared" si="20"/>
        <v>2017</v>
      </c>
      <c r="C82" s="118">
        <f t="shared" si="22"/>
        <v>8</v>
      </c>
      <c r="D82" s="186">
        <f>Data!D81</f>
        <v>22370466.670000002</v>
      </c>
      <c r="E82" s="186">
        <f>Data!E81</f>
        <v>6434256.0108200004</v>
      </c>
      <c r="F82" s="185">
        <f ca="1">Data!F81</f>
        <v>738823.02853672043</v>
      </c>
      <c r="G82" s="185">
        <f t="shared" ca="1" si="23"/>
        <v>23109289.698536724</v>
      </c>
      <c r="H82" s="196">
        <f>Data!U81</f>
        <v>6.6999999999999957</v>
      </c>
      <c r="I82" s="187">
        <f>Data!X81</f>
        <v>136.4</v>
      </c>
      <c r="J82" s="225">
        <f t="shared" ca="1" si="28"/>
        <v>2.3899999999999997</v>
      </c>
      <c r="K82" s="225">
        <f t="shared" ca="1" si="28"/>
        <v>185.42</v>
      </c>
      <c r="L82" s="187">
        <f>Data!AG81</f>
        <v>31</v>
      </c>
      <c r="M82" s="187">
        <f>Data!AU81</f>
        <v>0</v>
      </c>
      <c r="N82" s="188">
        <f>Data!M81</f>
        <v>158.96211500248234</v>
      </c>
      <c r="O82" s="187">
        <f>Data!AX81</f>
        <v>80</v>
      </c>
      <c r="P82" s="189">
        <f>Data!K81</f>
        <v>11880</v>
      </c>
      <c r="Q82" s="191"/>
      <c r="R82" s="190">
        <f t="shared" ca="1" si="24"/>
        <v>25292295.957272585</v>
      </c>
      <c r="S82" s="92">
        <f t="shared" ca="1" si="25"/>
        <v>2183006.2587358616</v>
      </c>
      <c r="T82" s="93">
        <f t="shared" ca="1" si="21"/>
        <v>9.7584296784625879E-2</v>
      </c>
      <c r="U82"/>
      <c r="V82">
        <v>9</v>
      </c>
      <c r="W82" s="109">
        <f t="shared" ca="1" si="27"/>
        <v>372730.47346830368</v>
      </c>
      <c r="X82" s="109">
        <f t="shared" ca="1" si="27"/>
        <v>237475.41297380254</v>
      </c>
      <c r="Y82" s="109">
        <f t="shared" ca="1" si="27"/>
        <v>366126.4941287823</v>
      </c>
      <c r="Z82" s="109">
        <f t="shared" ca="1" si="27"/>
        <v>1176551.6464345455</v>
      </c>
      <c r="AA82" s="109">
        <f t="shared" ca="1" si="27"/>
        <v>-957796.68075053021</v>
      </c>
      <c r="AB82" s="109">
        <f t="shared" ca="1" si="27"/>
        <v>-475706.96515012532</v>
      </c>
      <c r="AC82" s="109">
        <f t="shared" ca="1" si="27"/>
        <v>-152582.34086778015</v>
      </c>
      <c r="AD82" s="109">
        <f t="shared" ca="1" si="27"/>
        <v>-1637010.4805720858</v>
      </c>
      <c r="AE82" s="109">
        <f t="shared" ca="1" si="27"/>
        <v>-123661.49762121588</v>
      </c>
      <c r="AF82" s="109">
        <f t="shared" ca="1" si="27"/>
        <v>1193873.9379563034</v>
      </c>
      <c r="AG82" s="210">
        <f t="shared" ca="1" si="29"/>
        <v>0</v>
      </c>
    </row>
    <row r="83" spans="1:33" x14ac:dyDescent="0.2">
      <c r="A83" s="97">
        <f>Purchases!A142</f>
        <v>42979</v>
      </c>
      <c r="B83" s="118">
        <f t="shared" si="20"/>
        <v>2017</v>
      </c>
      <c r="C83" s="118">
        <f t="shared" si="22"/>
        <v>9</v>
      </c>
      <c r="D83" s="186">
        <f>Data!D82</f>
        <v>19459266.670000002</v>
      </c>
      <c r="E83" s="186">
        <f>Data!E82</f>
        <v>5548386.131719999</v>
      </c>
      <c r="F83" s="185">
        <f ca="1">Data!F82</f>
        <v>752231.03152816196</v>
      </c>
      <c r="G83" s="185">
        <f t="shared" ca="1" si="23"/>
        <v>20211497.701528165</v>
      </c>
      <c r="H83" s="196">
        <f>Data!U82</f>
        <v>47.5</v>
      </c>
      <c r="I83" s="187">
        <f>Data!X82</f>
        <v>90.999999999999986</v>
      </c>
      <c r="J83" s="225">
        <f t="shared" ca="1" si="28"/>
        <v>45.749999999999993</v>
      </c>
      <c r="K83" s="225">
        <f t="shared" ca="1" si="28"/>
        <v>88.07</v>
      </c>
      <c r="L83" s="187">
        <f>Data!AG82</f>
        <v>30</v>
      </c>
      <c r="M83" s="187">
        <f>Data!AU82</f>
        <v>0</v>
      </c>
      <c r="N83" s="188">
        <f>Data!M82</f>
        <v>159.32034696231051</v>
      </c>
      <c r="O83" s="187">
        <f>Data!AX82</f>
        <v>81</v>
      </c>
      <c r="P83" s="189">
        <f>Data!K82</f>
        <v>11891</v>
      </c>
      <c r="Q83" s="191"/>
      <c r="R83" s="190">
        <f t="shared" ca="1" si="24"/>
        <v>20058915.360660385</v>
      </c>
      <c r="S83" s="92">
        <f t="shared" ca="1" si="25"/>
        <v>-152582.34086778015</v>
      </c>
      <c r="T83" s="93">
        <f t="shared" ca="1" si="21"/>
        <v>7.8411146450350858E-3</v>
      </c>
      <c r="U83"/>
      <c r="V83">
        <v>10</v>
      </c>
      <c r="W83" s="109">
        <f t="shared" ca="1" si="27"/>
        <v>199391.1921665743</v>
      </c>
      <c r="X83" s="109">
        <f t="shared" ca="1" si="27"/>
        <v>14302.505286160856</v>
      </c>
      <c r="Y83" s="109">
        <f t="shared" ca="1" si="27"/>
        <v>-261047.84180186689</v>
      </c>
      <c r="Z83" s="109">
        <f t="shared" ca="1" si="27"/>
        <v>473051.68500187993</v>
      </c>
      <c r="AA83" s="109">
        <f t="shared" ca="1" si="27"/>
        <v>544756.59859795868</v>
      </c>
      <c r="AB83" s="109">
        <f t="shared" ca="1" si="27"/>
        <v>-258183.24344059452</v>
      </c>
      <c r="AC83" s="109">
        <f t="shared" ca="1" si="27"/>
        <v>88801.392411094159</v>
      </c>
      <c r="AD83" s="109">
        <f t="shared" ca="1" si="27"/>
        <v>-1105318.876292184</v>
      </c>
      <c r="AE83" s="109">
        <f t="shared" ca="1" si="27"/>
        <v>156970.06844522431</v>
      </c>
      <c r="AF83" s="109">
        <f t="shared" ca="1" si="27"/>
        <v>147276.51962574944</v>
      </c>
      <c r="AG83" s="210">
        <f t="shared" ca="1" si="29"/>
        <v>-3.7252902984619141E-9</v>
      </c>
    </row>
    <row r="84" spans="1:33" x14ac:dyDescent="0.2">
      <c r="A84" s="97">
        <f>Purchases!A143</f>
        <v>43009</v>
      </c>
      <c r="B84" s="118">
        <f t="shared" si="20"/>
        <v>2017</v>
      </c>
      <c r="C84" s="118">
        <f t="shared" si="22"/>
        <v>10</v>
      </c>
      <c r="D84" s="186">
        <f>Data!D83</f>
        <v>17820433.329999998</v>
      </c>
      <c r="E84" s="186">
        <f>Data!E83</f>
        <v>4645663.9166400004</v>
      </c>
      <c r="F84" s="185">
        <f ca="1">Data!F83</f>
        <v>765639.03451960348</v>
      </c>
      <c r="G84" s="185">
        <f t="shared" ca="1" si="23"/>
        <v>18586072.364519604</v>
      </c>
      <c r="H84" s="196">
        <f>Data!U83</f>
        <v>151.59999999999997</v>
      </c>
      <c r="I84" s="187">
        <f>Data!X83</f>
        <v>27.5</v>
      </c>
      <c r="J84" s="225">
        <f t="shared" ca="1" si="28"/>
        <v>200.71</v>
      </c>
      <c r="K84" s="225">
        <f t="shared" ca="1" si="28"/>
        <v>17.57</v>
      </c>
      <c r="L84" s="187">
        <f>Data!AG83</f>
        <v>31</v>
      </c>
      <c r="M84" s="187">
        <f>Data!AU83</f>
        <v>0</v>
      </c>
      <c r="N84" s="188">
        <f>Data!M83</f>
        <v>159.67857892213868</v>
      </c>
      <c r="O84" s="187">
        <f>Data!AX83</f>
        <v>82</v>
      </c>
      <c r="P84" s="189">
        <f>Data!K83</f>
        <v>11902</v>
      </c>
      <c r="Q84" s="191"/>
      <c r="R84" s="190">
        <f t="shared" ca="1" si="24"/>
        <v>18674873.756930698</v>
      </c>
      <c r="S84" s="92">
        <f t="shared" ca="1" si="25"/>
        <v>88801.392411094159</v>
      </c>
      <c r="T84" s="93">
        <f t="shared" ca="1" si="21"/>
        <v>4.9831219458395838E-3</v>
      </c>
      <c r="U84"/>
      <c r="V84">
        <v>11</v>
      </c>
      <c r="W84" s="109">
        <f t="shared" ca="1" si="27"/>
        <v>973242.17320146784</v>
      </c>
      <c r="X84" s="109">
        <f t="shared" ca="1" si="27"/>
        <v>-51644.634238865227</v>
      </c>
      <c r="Y84" s="109">
        <f t="shared" ca="1" si="27"/>
        <v>-442444.65211353824</v>
      </c>
      <c r="Z84" s="109">
        <f t="shared" ca="1" si="27"/>
        <v>-845353.96631672233</v>
      </c>
      <c r="AA84" s="109">
        <f t="shared" ca="1" si="27"/>
        <v>810097.581133876</v>
      </c>
      <c r="AB84" s="109">
        <f t="shared" ca="1" si="27"/>
        <v>955481.94467865676</v>
      </c>
      <c r="AC84" s="109">
        <f t="shared" ca="1" si="27"/>
        <v>-124300.41220993176</v>
      </c>
      <c r="AD84" s="109">
        <f t="shared" ca="1" si="27"/>
        <v>-903698.75771772861</v>
      </c>
      <c r="AE84" s="109">
        <f t="shared" ca="1" si="27"/>
        <v>-1020388.3405197412</v>
      </c>
      <c r="AF84" s="109">
        <f t="shared" ca="1" si="27"/>
        <v>649009.06410251558</v>
      </c>
      <c r="AG84" s="210">
        <f t="shared" ca="1" si="29"/>
        <v>-1.1175870895385742E-8</v>
      </c>
    </row>
    <row r="85" spans="1:33" x14ac:dyDescent="0.2">
      <c r="A85" s="97">
        <f>Purchases!A144</f>
        <v>43040</v>
      </c>
      <c r="B85" s="118">
        <f t="shared" si="20"/>
        <v>2017</v>
      </c>
      <c r="C85" s="118">
        <f t="shared" si="22"/>
        <v>11</v>
      </c>
      <c r="D85" s="186">
        <f>Data!D84</f>
        <v>18956833.329999998</v>
      </c>
      <c r="E85" s="186">
        <f>Data!E84</f>
        <v>4342402.4035</v>
      </c>
      <c r="F85" s="185">
        <f ca="1">Data!F84</f>
        <v>779047.03751104488</v>
      </c>
      <c r="G85" s="185">
        <f t="shared" ca="1" si="23"/>
        <v>19735880.367511041</v>
      </c>
      <c r="H85" s="196">
        <f>Data!U84</f>
        <v>413.8</v>
      </c>
      <c r="I85" s="187">
        <f>Data!X84</f>
        <v>0</v>
      </c>
      <c r="J85" s="225">
        <f t="shared" ca="1" si="28"/>
        <v>400.69</v>
      </c>
      <c r="K85" s="225">
        <f t="shared" ca="1" si="28"/>
        <v>0.43999999999999984</v>
      </c>
      <c r="L85" s="187">
        <f>Data!AG84</f>
        <v>30</v>
      </c>
      <c r="M85" s="187">
        <f>Data!AU84</f>
        <v>0</v>
      </c>
      <c r="N85" s="188">
        <f>Data!M84</f>
        <v>160.03681088196686</v>
      </c>
      <c r="O85" s="187">
        <f>Data!AX84</f>
        <v>83</v>
      </c>
      <c r="P85" s="189">
        <f>Data!K84</f>
        <v>11913</v>
      </c>
      <c r="Q85" s="191"/>
      <c r="R85" s="190">
        <f t="shared" ca="1" si="24"/>
        <v>19611579.95530111</v>
      </c>
      <c r="S85" s="92">
        <f t="shared" ca="1" si="25"/>
        <v>-124300.41220993176</v>
      </c>
      <c r="T85" s="93">
        <f t="shared" ca="1" si="21"/>
        <v>6.5570240580857487E-3</v>
      </c>
      <c r="U85"/>
      <c r="V85">
        <v>12</v>
      </c>
      <c r="W85" s="109">
        <f t="shared" ca="1" si="27"/>
        <v>592474.84400041401</v>
      </c>
      <c r="X85" s="109">
        <f t="shared" ca="1" si="27"/>
        <v>588071.46351732314</v>
      </c>
      <c r="Y85" s="109">
        <f t="shared" ca="1" si="27"/>
        <v>-950910.01532433927</v>
      </c>
      <c r="Z85" s="109">
        <f t="shared" ca="1" si="27"/>
        <v>46455.664096649736</v>
      </c>
      <c r="AA85" s="109">
        <f t="shared" ca="1" si="27"/>
        <v>1454436.5735662393</v>
      </c>
      <c r="AB85" s="109">
        <f t="shared" ca="1" si="27"/>
        <v>-812203.53010684997</v>
      </c>
      <c r="AC85" s="109">
        <f t="shared" ca="1" si="27"/>
        <v>-1349415.949044425</v>
      </c>
      <c r="AD85" s="109">
        <f t="shared" ca="1" si="27"/>
        <v>171952.00786485523</v>
      </c>
      <c r="AE85" s="109">
        <f t="shared" ca="1" si="27"/>
        <v>236901.86999050528</v>
      </c>
      <c r="AF85" s="109">
        <f t="shared" ca="1" si="27"/>
        <v>22237.071439631283</v>
      </c>
      <c r="AG85" s="210">
        <f t="shared" ca="1" si="29"/>
        <v>3.7252902984619141E-9</v>
      </c>
    </row>
    <row r="86" spans="1:33" x14ac:dyDescent="0.2">
      <c r="A86" s="97">
        <f>Purchases!A145</f>
        <v>43070</v>
      </c>
      <c r="B86" s="118">
        <f t="shared" si="20"/>
        <v>2017</v>
      </c>
      <c r="C86" s="118">
        <f t="shared" si="22"/>
        <v>12</v>
      </c>
      <c r="D86" s="186">
        <f>Data!D85</f>
        <v>21888466.670000002</v>
      </c>
      <c r="E86" s="186">
        <f>Data!E85</f>
        <v>4764981.3563499991</v>
      </c>
      <c r="F86" s="185">
        <f ca="1">Data!F85</f>
        <v>792455.04050248628</v>
      </c>
      <c r="G86" s="185">
        <f t="shared" ca="1" si="23"/>
        <v>22680921.710502487</v>
      </c>
      <c r="H86" s="196">
        <f>Data!U85</f>
        <v>672.00000000000011</v>
      </c>
      <c r="I86" s="187">
        <f>Data!X85</f>
        <v>0</v>
      </c>
      <c r="J86" s="225">
        <f t="shared" ca="1" si="28"/>
        <v>549.42000000000007</v>
      </c>
      <c r="K86" s="225">
        <f t="shared" ca="1" si="28"/>
        <v>0</v>
      </c>
      <c r="L86" s="187">
        <f>Data!AG85</f>
        <v>31</v>
      </c>
      <c r="M86" s="187">
        <f>Data!AU85</f>
        <v>0</v>
      </c>
      <c r="N86" s="188">
        <f>Data!M85</f>
        <v>160.39504284179503</v>
      </c>
      <c r="O86" s="187">
        <f>Data!AX85</f>
        <v>84</v>
      </c>
      <c r="P86" s="189">
        <f>Data!K85</f>
        <v>11923</v>
      </c>
      <c r="Q86" s="191"/>
      <c r="R86" s="190">
        <f t="shared" ca="1" si="24"/>
        <v>21331505.761458062</v>
      </c>
      <c r="S86" s="92">
        <f t="shared" ca="1" si="25"/>
        <v>-1349415.949044425</v>
      </c>
      <c r="T86" s="93">
        <f t="shared" ca="1" si="21"/>
        <v>6.1649633543948236E-2</v>
      </c>
      <c r="U86"/>
      <c r="W86" s="210">
        <f ca="1">SUM(W74:W85)</f>
        <v>-3419795.7572805062</v>
      </c>
      <c r="X86" s="210">
        <f t="shared" ref="X86:AF86" ca="1" si="30">SUM(X74:X85)</f>
        <v>-171755.89068541676</v>
      </c>
      <c r="Y86" s="210">
        <f t="shared" ca="1" si="30"/>
        <v>57768.20711779967</v>
      </c>
      <c r="Z86" s="210">
        <f t="shared" ca="1" si="30"/>
        <v>1947672.1654649414</v>
      </c>
      <c r="AA86" s="210">
        <f t="shared" ca="1" si="30"/>
        <v>2413828.7061199248</v>
      </c>
      <c r="AB86" s="210">
        <f t="shared" ca="1" si="30"/>
        <v>-2223684.5814478211</v>
      </c>
      <c r="AC86" s="210">
        <f t="shared" ca="1" si="30"/>
        <v>5787042.035904156</v>
      </c>
      <c r="AD86" s="210">
        <f t="shared" ca="1" si="30"/>
        <v>-6697510.4211912788</v>
      </c>
      <c r="AE86" s="210">
        <f t="shared" ca="1" si="30"/>
        <v>721851.58319307491</v>
      </c>
      <c r="AF86" s="210">
        <f t="shared" ca="1" si="30"/>
        <v>1584583.9528050721</v>
      </c>
      <c r="AG86" s="210">
        <f ca="1">SUM(W86:AF86)</f>
        <v>-5.4016709327697754E-8</v>
      </c>
    </row>
    <row r="87" spans="1:33" x14ac:dyDescent="0.2">
      <c r="A87" s="97">
        <f>Purchases!A146</f>
        <v>43101</v>
      </c>
      <c r="B87" s="118">
        <f t="shared" si="20"/>
        <v>2018</v>
      </c>
      <c r="C87" s="118">
        <f t="shared" si="22"/>
        <v>1</v>
      </c>
      <c r="D87" s="186">
        <f>Data!D86</f>
        <v>22905166.670000002</v>
      </c>
      <c r="E87" s="186">
        <f>Data!E86</f>
        <v>6151832.5779499998</v>
      </c>
      <c r="F87" s="185">
        <f ca="1">Data!F86</f>
        <v>838056.0469939328</v>
      </c>
      <c r="G87" s="185">
        <f t="shared" ca="1" si="23"/>
        <v>23743222.716993935</v>
      </c>
      <c r="H87" s="196">
        <f>Data!U86</f>
        <v>705.60000000000014</v>
      </c>
      <c r="I87" s="187">
        <f>Data!X86</f>
        <v>0</v>
      </c>
      <c r="J87" s="225">
        <f t="shared" ca="1" si="28"/>
        <v>671.55</v>
      </c>
      <c r="K87" s="225">
        <f t="shared" ca="1" si="28"/>
        <v>0</v>
      </c>
      <c r="L87" s="187">
        <f>Data!AG86</f>
        <v>31</v>
      </c>
      <c r="M87" s="187">
        <f>Data!AU86</f>
        <v>0</v>
      </c>
      <c r="N87" s="188">
        <f>Data!M86</f>
        <v>160.78439282609799</v>
      </c>
      <c r="O87" s="187">
        <f>Data!AX86</f>
        <v>85</v>
      </c>
      <c r="P87" s="189">
        <f>Data!K86</f>
        <v>11932.833333333334</v>
      </c>
      <c r="Q87" s="191"/>
      <c r="R87" s="190">
        <f t="shared" ca="1" si="24"/>
        <v>23368384.953370482</v>
      </c>
      <c r="S87" s="92">
        <f t="shared" ca="1" si="25"/>
        <v>-374837.76362345368</v>
      </c>
      <c r="T87" s="93">
        <f t="shared" ca="1" si="21"/>
        <v>1.6364769094406841E-2</v>
      </c>
      <c r="U87"/>
    </row>
    <row r="88" spans="1:33" x14ac:dyDescent="0.2">
      <c r="A88" s="97">
        <f>Purchases!A147</f>
        <v>43132</v>
      </c>
      <c r="B88" s="118">
        <f t="shared" si="20"/>
        <v>2018</v>
      </c>
      <c r="C88" s="118">
        <f t="shared" si="22"/>
        <v>2</v>
      </c>
      <c r="D88" s="186">
        <f>Data!D87</f>
        <v>19173200</v>
      </c>
      <c r="E88" s="186">
        <f>Data!E87</f>
        <v>6440644.0073600002</v>
      </c>
      <c r="F88" s="185">
        <f ca="1">Data!F87</f>
        <v>838912.80951703142</v>
      </c>
      <c r="G88" s="185">
        <f t="shared" ca="1" si="23"/>
        <v>20012112.80951703</v>
      </c>
      <c r="H88" s="196">
        <f>Data!U87</f>
        <v>544.49999999999989</v>
      </c>
      <c r="I88" s="187">
        <f>Data!X87</f>
        <v>0</v>
      </c>
      <c r="J88" s="225">
        <f t="shared" ca="1" si="28"/>
        <v>591.43000000000006</v>
      </c>
      <c r="K88" s="225">
        <f t="shared" ca="1" si="28"/>
        <v>0</v>
      </c>
      <c r="L88" s="187">
        <f>Data!AG87</f>
        <v>28</v>
      </c>
      <c r="M88" s="187">
        <f>Data!AU87</f>
        <v>0</v>
      </c>
      <c r="N88" s="188">
        <f>Data!M87</f>
        <v>161.17374281040094</v>
      </c>
      <c r="O88" s="187">
        <f>Data!AX87</f>
        <v>86</v>
      </c>
      <c r="P88" s="189">
        <f>Data!K87</f>
        <v>11942.666666666668</v>
      </c>
      <c r="Q88" s="191"/>
      <c r="R88" s="190">
        <f t="shared" ca="1" si="24"/>
        <v>20528739.42469614</v>
      </c>
      <c r="S88" s="92">
        <f t="shared" ca="1" si="25"/>
        <v>516626.61517911032</v>
      </c>
      <c r="T88" s="93">
        <f t="shared" ca="1" si="21"/>
        <v>2.6945247281575862E-2</v>
      </c>
      <c r="U88"/>
    </row>
    <row r="89" spans="1:33" x14ac:dyDescent="0.2">
      <c r="A89" s="97">
        <f>Purchases!A148</f>
        <v>43160</v>
      </c>
      <c r="B89" s="118">
        <f t="shared" si="20"/>
        <v>2018</v>
      </c>
      <c r="C89" s="118">
        <f t="shared" si="22"/>
        <v>3</v>
      </c>
      <c r="D89" s="186">
        <f>Data!D88</f>
        <v>19615300</v>
      </c>
      <c r="E89" s="186">
        <f>Data!E88</f>
        <v>5212612.5706799999</v>
      </c>
      <c r="F89" s="185">
        <f ca="1">Data!F88</f>
        <v>839769.57204013004</v>
      </c>
      <c r="G89" s="185">
        <f t="shared" ca="1" si="23"/>
        <v>20455069.572040129</v>
      </c>
      <c r="H89" s="196">
        <f>Data!U88</f>
        <v>534.40000000000009</v>
      </c>
      <c r="I89" s="187">
        <f>Data!X88</f>
        <v>0</v>
      </c>
      <c r="J89" s="225">
        <f t="shared" ca="1" si="28"/>
        <v>493.21999999999997</v>
      </c>
      <c r="K89" s="225">
        <f t="shared" ca="1" si="28"/>
        <v>1.5699999999999998</v>
      </c>
      <c r="L89" s="187">
        <f>Data!AG88</f>
        <v>31</v>
      </c>
      <c r="M89" s="187">
        <f>Data!AU88</f>
        <v>1</v>
      </c>
      <c r="N89" s="188">
        <f>Data!M88</f>
        <v>161.56309279470389</v>
      </c>
      <c r="O89" s="187">
        <f>Data!AX88</f>
        <v>87</v>
      </c>
      <c r="P89" s="189">
        <f>Data!K88</f>
        <v>11952.500000000002</v>
      </c>
      <c r="Q89" s="191"/>
      <c r="R89" s="190">
        <f t="shared" ca="1" si="24"/>
        <v>20073177.918359827</v>
      </c>
      <c r="S89" s="92">
        <f t="shared" ca="1" si="25"/>
        <v>-381891.6536803022</v>
      </c>
      <c r="T89" s="93">
        <f t="shared" ca="1" si="21"/>
        <v>1.9469070250279229E-2</v>
      </c>
      <c r="U89"/>
    </row>
    <row r="90" spans="1:33" x14ac:dyDescent="0.2">
      <c r="A90" s="97">
        <f>Purchases!A149</f>
        <v>43191</v>
      </c>
      <c r="B90" s="118">
        <f t="shared" si="20"/>
        <v>2018</v>
      </c>
      <c r="C90" s="118">
        <f t="shared" si="22"/>
        <v>4</v>
      </c>
      <c r="D90" s="186">
        <f>Data!D89</f>
        <v>17899266.670000002</v>
      </c>
      <c r="E90" s="186">
        <f>Data!E89</f>
        <v>5278300.1626599999</v>
      </c>
      <c r="F90" s="185">
        <f ca="1">Data!F89</f>
        <v>840626.33456322865</v>
      </c>
      <c r="G90" s="185">
        <f t="shared" ca="1" si="23"/>
        <v>18739893.004563231</v>
      </c>
      <c r="H90" s="196">
        <f>Data!U89</f>
        <v>395.6</v>
      </c>
      <c r="I90" s="187">
        <f>Data!X89</f>
        <v>0</v>
      </c>
      <c r="J90" s="225">
        <f t="shared" ca="1" si="28"/>
        <v>298.61</v>
      </c>
      <c r="K90" s="225">
        <f t="shared" ca="1" si="28"/>
        <v>1.4</v>
      </c>
      <c r="L90" s="187">
        <f>Data!AG89</f>
        <v>30</v>
      </c>
      <c r="M90" s="187">
        <f>Data!AU89</f>
        <v>1</v>
      </c>
      <c r="N90" s="188">
        <f>Data!M89</f>
        <v>161.95244277900684</v>
      </c>
      <c r="O90" s="187">
        <f>Data!AX89</f>
        <v>88</v>
      </c>
      <c r="P90" s="189">
        <f>Data!K89</f>
        <v>11962.333333333336</v>
      </c>
      <c r="Q90" s="191"/>
      <c r="R90" s="190">
        <f t="shared" ca="1" si="24"/>
        <v>17735884.540954128</v>
      </c>
      <c r="S90" s="92">
        <f t="shared" ca="1" si="25"/>
        <v>-1004008.4636091031</v>
      </c>
      <c r="T90" s="93">
        <f t="shared" ca="1" si="21"/>
        <v>5.6092156294417786E-2</v>
      </c>
      <c r="U90"/>
    </row>
    <row r="91" spans="1:33" x14ac:dyDescent="0.2">
      <c r="A91" s="97">
        <f>Purchases!A150</f>
        <v>43221</v>
      </c>
      <c r="B91" s="118">
        <f t="shared" si="20"/>
        <v>2018</v>
      </c>
      <c r="C91" s="118">
        <f t="shared" si="22"/>
        <v>5</v>
      </c>
      <c r="D91" s="186">
        <f>Data!D90</f>
        <v>18615766.670000002</v>
      </c>
      <c r="E91" s="186">
        <f>Data!E90</f>
        <v>4734709.4106999999</v>
      </c>
      <c r="F91" s="185">
        <f ca="1">Data!F90</f>
        <v>841483.09708632727</v>
      </c>
      <c r="G91" s="185">
        <f t="shared" ca="1" si="23"/>
        <v>19457249.767086331</v>
      </c>
      <c r="H91" s="196">
        <f>Data!U90</f>
        <v>62.900000000000006</v>
      </c>
      <c r="I91" s="187">
        <f>Data!X90</f>
        <v>82.1</v>
      </c>
      <c r="J91" s="225">
        <f t="shared" ca="1" si="28"/>
        <v>105.4</v>
      </c>
      <c r="K91" s="225">
        <f t="shared" ca="1" si="28"/>
        <v>59.319999999999993</v>
      </c>
      <c r="L91" s="187">
        <f>Data!AG90</f>
        <v>31</v>
      </c>
      <c r="M91" s="187">
        <f>Data!AU90</f>
        <v>1</v>
      </c>
      <c r="N91" s="188">
        <f>Data!M90</f>
        <v>162.3417927633098</v>
      </c>
      <c r="O91" s="187">
        <f>Data!AX90</f>
        <v>89</v>
      </c>
      <c r="P91" s="189">
        <f>Data!K90</f>
        <v>11972.16666666667</v>
      </c>
      <c r="Q91" s="191"/>
      <c r="R91" s="190">
        <f t="shared" ca="1" si="24"/>
        <v>18888599.108066514</v>
      </c>
      <c r="S91" s="92">
        <f t="shared" ca="1" si="25"/>
        <v>-568650.65901981667</v>
      </c>
      <c r="T91" s="93">
        <f t="shared" ca="1" si="21"/>
        <v>3.0546722522914852E-2</v>
      </c>
      <c r="U91"/>
    </row>
    <row r="92" spans="1:33" x14ac:dyDescent="0.2">
      <c r="A92" s="97">
        <f>Purchases!A151</f>
        <v>43252</v>
      </c>
      <c r="B92" s="118">
        <f t="shared" si="20"/>
        <v>2018</v>
      </c>
      <c r="C92" s="118">
        <f t="shared" si="22"/>
        <v>6</v>
      </c>
      <c r="D92" s="186">
        <f>Data!D91</f>
        <v>21326300</v>
      </c>
      <c r="E92" s="186">
        <f>Data!E91</f>
        <v>4591129.8232199997</v>
      </c>
      <c r="F92" s="185">
        <f ca="1">Data!F91</f>
        <v>842339.85960942588</v>
      </c>
      <c r="G92" s="185">
        <f t="shared" ca="1" si="23"/>
        <v>22168639.859609425</v>
      </c>
      <c r="H92" s="196">
        <f>Data!U91</f>
        <v>7.6000000000000014</v>
      </c>
      <c r="I92" s="187">
        <f>Data!X91</f>
        <v>148.80000000000001</v>
      </c>
      <c r="J92" s="225">
        <f t="shared" ca="1" si="28"/>
        <v>12.239999999999998</v>
      </c>
      <c r="K92" s="225">
        <f t="shared" ca="1" si="28"/>
        <v>147.38999999999999</v>
      </c>
      <c r="L92" s="187">
        <f>Data!AG91</f>
        <v>30</v>
      </c>
      <c r="M92" s="187">
        <f>Data!AU91</f>
        <v>0</v>
      </c>
      <c r="N92" s="188">
        <f>Data!M91</f>
        <v>162.73114274761275</v>
      </c>
      <c r="O92" s="187">
        <f>Data!AX91</f>
        <v>90</v>
      </c>
      <c r="P92" s="189">
        <f>Data!K91</f>
        <v>11982.000000000004</v>
      </c>
      <c r="Q92" s="191"/>
      <c r="R92" s="190">
        <f t="shared" ca="1" si="24"/>
        <v>22155562.845476642</v>
      </c>
      <c r="S92" s="92">
        <f t="shared" ca="1" si="25"/>
        <v>-13077.014132782817</v>
      </c>
      <c r="T92" s="93">
        <f t="shared" ca="1" si="21"/>
        <v>6.1318719762841261E-4</v>
      </c>
      <c r="U92"/>
    </row>
    <row r="93" spans="1:33" x14ac:dyDescent="0.2">
      <c r="A93" s="97">
        <f>Purchases!A152</f>
        <v>43282</v>
      </c>
      <c r="B93" s="118">
        <f t="shared" si="20"/>
        <v>2018</v>
      </c>
      <c r="C93" s="118">
        <f t="shared" si="22"/>
        <v>7</v>
      </c>
      <c r="D93" s="186">
        <f>Data!D92</f>
        <v>25954933.329999998</v>
      </c>
      <c r="E93" s="186">
        <f>Data!E92</f>
        <v>5430424.4713999992</v>
      </c>
      <c r="F93" s="185">
        <f ca="1">Data!F92</f>
        <v>843196.6221325245</v>
      </c>
      <c r="G93" s="185">
        <f t="shared" ca="1" si="23"/>
        <v>26798129.952132523</v>
      </c>
      <c r="H93" s="196">
        <f>Data!U92</f>
        <v>0.19999999999999929</v>
      </c>
      <c r="I93" s="187">
        <f>Data!X92</f>
        <v>225.1</v>
      </c>
      <c r="J93" s="225">
        <f t="shared" ca="1" si="28"/>
        <v>1.0100000000000002</v>
      </c>
      <c r="K93" s="225">
        <f t="shared" ca="1" si="28"/>
        <v>229.98999999999995</v>
      </c>
      <c r="L93" s="187">
        <f>Data!AG92</f>
        <v>31</v>
      </c>
      <c r="M93" s="187">
        <f>Data!AU92</f>
        <v>0</v>
      </c>
      <c r="N93" s="188">
        <f>Data!M92</f>
        <v>163.1204927319157</v>
      </c>
      <c r="O93" s="187">
        <f>Data!AX92</f>
        <v>91</v>
      </c>
      <c r="P93" s="189">
        <f>Data!K92</f>
        <v>11991.833333333338</v>
      </c>
      <c r="Q93" s="191"/>
      <c r="R93" s="190">
        <f t="shared" ca="1" si="24"/>
        <v>27029546.055506084</v>
      </c>
      <c r="S93" s="92">
        <f t="shared" ca="1" si="25"/>
        <v>231416.10337356105</v>
      </c>
      <c r="T93" s="93">
        <f t="shared" ca="1" si="21"/>
        <v>8.9160738897402156E-3</v>
      </c>
      <c r="U93"/>
    </row>
    <row r="94" spans="1:33" x14ac:dyDescent="0.2">
      <c r="A94" s="97">
        <f>Purchases!A153</f>
        <v>43313</v>
      </c>
      <c r="B94" s="118">
        <f t="shared" si="20"/>
        <v>2018</v>
      </c>
      <c r="C94" s="118">
        <f t="shared" si="22"/>
        <v>8</v>
      </c>
      <c r="D94" s="186">
        <f>Data!D93</f>
        <v>26266700</v>
      </c>
      <c r="E94" s="186">
        <f>Data!E93</f>
        <v>6859623.5653199991</v>
      </c>
      <c r="F94" s="185">
        <f ca="1">Data!F93</f>
        <v>844053.38465562311</v>
      </c>
      <c r="G94" s="185">
        <f t="shared" ca="1" si="23"/>
        <v>27110753.384655625</v>
      </c>
      <c r="H94" s="196">
        <f>Data!U93</f>
        <v>0</v>
      </c>
      <c r="I94" s="187">
        <f>Data!X93</f>
        <v>221.79999999999995</v>
      </c>
      <c r="J94" s="225">
        <f t="shared" ca="1" si="28"/>
        <v>2.3899999999999997</v>
      </c>
      <c r="K94" s="225">
        <f t="shared" ca="1" si="28"/>
        <v>185.42</v>
      </c>
      <c r="L94" s="187">
        <f>Data!AG93</f>
        <v>31</v>
      </c>
      <c r="M94" s="187">
        <f>Data!AU93</f>
        <v>0</v>
      </c>
      <c r="N94" s="188">
        <f>Data!M93</f>
        <v>163.50984271621866</v>
      </c>
      <c r="O94" s="187">
        <f>Data!AX93</f>
        <v>92</v>
      </c>
      <c r="P94" s="189">
        <f>Data!K93</f>
        <v>12001.666666666672</v>
      </c>
      <c r="Q94" s="191"/>
      <c r="R94" s="190">
        <f t="shared" ca="1" si="24"/>
        <v>25481741.905694276</v>
      </c>
      <c r="S94" s="92">
        <f t="shared" ca="1" si="25"/>
        <v>-1629011.4789613485</v>
      </c>
      <c r="T94" s="93">
        <f t="shared" ca="1" si="21"/>
        <v>6.2018124810552848E-2</v>
      </c>
      <c r="U94"/>
    </row>
    <row r="95" spans="1:33" x14ac:dyDescent="0.2">
      <c r="A95" s="97">
        <f>Purchases!A154</f>
        <v>43344</v>
      </c>
      <c r="B95" s="118">
        <f t="shared" si="20"/>
        <v>2018</v>
      </c>
      <c r="C95" s="118">
        <f t="shared" si="22"/>
        <v>9</v>
      </c>
      <c r="D95" s="186">
        <f>Data!D94</f>
        <v>21262033.329999998</v>
      </c>
      <c r="E95" s="186">
        <f>Data!E94</f>
        <v>6876333.0363399992</v>
      </c>
      <c r="F95" s="185">
        <f ca="1">Data!F94</f>
        <v>844910.14717872173</v>
      </c>
      <c r="G95" s="185">
        <f t="shared" ca="1" si="23"/>
        <v>22106943.477178719</v>
      </c>
      <c r="H95" s="196">
        <f>Data!U94</f>
        <v>41.400000000000006</v>
      </c>
      <c r="I95" s="187">
        <f>Data!X94</f>
        <v>125.1</v>
      </c>
      <c r="J95" s="225">
        <f t="shared" ref="J95:K114" ca="1" si="31">J83</f>
        <v>45.749999999999993</v>
      </c>
      <c r="K95" s="225">
        <f t="shared" ca="1" si="31"/>
        <v>88.07</v>
      </c>
      <c r="L95" s="187">
        <f>Data!AG94</f>
        <v>30</v>
      </c>
      <c r="M95" s="187">
        <f>Data!AU94</f>
        <v>0</v>
      </c>
      <c r="N95" s="188">
        <f>Data!M94</f>
        <v>163.89919270052161</v>
      </c>
      <c r="O95" s="187">
        <f>Data!AX94</f>
        <v>93</v>
      </c>
      <c r="P95" s="189">
        <f>Data!K94</f>
        <v>12011.500000000005</v>
      </c>
      <c r="Q95" s="191"/>
      <c r="R95" s="190">
        <f t="shared" ca="1" si="24"/>
        <v>20469932.996606633</v>
      </c>
      <c r="S95" s="92">
        <f t="shared" ca="1" si="25"/>
        <v>-1637010.4805720858</v>
      </c>
      <c r="T95" s="93">
        <f t="shared" ca="1" si="21"/>
        <v>7.6992188619247448E-2</v>
      </c>
      <c r="U95"/>
    </row>
    <row r="96" spans="1:33" x14ac:dyDescent="0.2">
      <c r="A96" s="97">
        <f>Purchases!A155</f>
        <v>43374</v>
      </c>
      <c r="B96" s="118">
        <f t="shared" si="20"/>
        <v>2018</v>
      </c>
      <c r="C96" s="118">
        <f t="shared" si="22"/>
        <v>10</v>
      </c>
      <c r="D96" s="186">
        <f>Data!D95</f>
        <v>18523233.329999998</v>
      </c>
      <c r="E96" s="186">
        <f>Data!E95</f>
        <v>5435062.2424600003</v>
      </c>
      <c r="F96" s="185">
        <f ca="1">Data!F95</f>
        <v>845766.90970182035</v>
      </c>
      <c r="G96" s="185">
        <f t="shared" ca="1" si="23"/>
        <v>19369000.239701819</v>
      </c>
      <c r="H96" s="196">
        <f>Data!U95</f>
        <v>242.29999999999998</v>
      </c>
      <c r="I96" s="187">
        <f>Data!X95</f>
        <v>31.8</v>
      </c>
      <c r="J96" s="225">
        <f t="shared" ca="1" si="31"/>
        <v>200.71</v>
      </c>
      <c r="K96" s="225">
        <f t="shared" ca="1" si="31"/>
        <v>17.57</v>
      </c>
      <c r="L96" s="187">
        <f>Data!AG95</f>
        <v>31</v>
      </c>
      <c r="M96" s="187">
        <f>Data!AU95</f>
        <v>0</v>
      </c>
      <c r="N96" s="188">
        <f>Data!M95</f>
        <v>164.28854268482456</v>
      </c>
      <c r="O96" s="187">
        <f>Data!AX95</f>
        <v>94</v>
      </c>
      <c r="P96" s="189">
        <f>Data!K95</f>
        <v>12021.333333333339</v>
      </c>
      <c r="Q96" s="191"/>
      <c r="R96" s="190">
        <f t="shared" ca="1" si="24"/>
        <v>18263681.363409635</v>
      </c>
      <c r="S96" s="92">
        <f t="shared" ca="1" si="25"/>
        <v>-1105318.876292184</v>
      </c>
      <c r="T96" s="93">
        <f t="shared" ca="1" si="21"/>
        <v>5.9672026832487353E-2</v>
      </c>
      <c r="U96"/>
    </row>
    <row r="97" spans="1:23" x14ac:dyDescent="0.2">
      <c r="A97" s="97">
        <f>Purchases!A156</f>
        <v>43405</v>
      </c>
      <c r="B97" s="118">
        <f t="shared" si="20"/>
        <v>2018</v>
      </c>
      <c r="C97" s="118">
        <f t="shared" si="22"/>
        <v>11</v>
      </c>
      <c r="D97" s="186">
        <f>Data!D96</f>
        <v>19925200</v>
      </c>
      <c r="E97" s="186">
        <f>Data!E96</f>
        <v>4664771.2834799998</v>
      </c>
      <c r="F97" s="185">
        <f ca="1">Data!F96</f>
        <v>846623.67222491896</v>
      </c>
      <c r="G97" s="185">
        <f t="shared" ca="1" si="23"/>
        <v>20771823.67222492</v>
      </c>
      <c r="H97" s="196">
        <f>Data!U96</f>
        <v>484.60000000000008</v>
      </c>
      <c r="I97" s="187">
        <f>Data!X96</f>
        <v>0</v>
      </c>
      <c r="J97" s="225">
        <f t="shared" ca="1" si="31"/>
        <v>400.69</v>
      </c>
      <c r="K97" s="225">
        <f t="shared" ca="1" si="31"/>
        <v>0.43999999999999984</v>
      </c>
      <c r="L97" s="187">
        <f>Data!AG96</f>
        <v>30</v>
      </c>
      <c r="M97" s="187">
        <f>Data!AU96</f>
        <v>0</v>
      </c>
      <c r="N97" s="188">
        <f>Data!M96</f>
        <v>164.67789266912752</v>
      </c>
      <c r="O97" s="187">
        <f>Data!AX96</f>
        <v>95</v>
      </c>
      <c r="P97" s="189">
        <f>Data!K96</f>
        <v>12031.166666666673</v>
      </c>
      <c r="Q97" s="191"/>
      <c r="R97" s="190">
        <f t="shared" ca="1" si="24"/>
        <v>19868124.914507192</v>
      </c>
      <c r="S97" s="92">
        <f t="shared" ca="1" si="25"/>
        <v>-903698.75771772861</v>
      </c>
      <c r="T97" s="93">
        <f t="shared" ca="1" si="21"/>
        <v>4.5354563955078427E-2</v>
      </c>
      <c r="U97"/>
    </row>
    <row r="98" spans="1:23" x14ac:dyDescent="0.2">
      <c r="A98" s="97">
        <f>Purchases!A157</f>
        <v>43435</v>
      </c>
      <c r="B98" s="118">
        <f t="shared" si="20"/>
        <v>2018</v>
      </c>
      <c r="C98" s="118">
        <f t="shared" si="22"/>
        <v>12</v>
      </c>
      <c r="D98" s="186">
        <f>Data!D97</f>
        <v>21085833.329999998</v>
      </c>
      <c r="E98" s="186">
        <f>Data!E97</f>
        <v>5355771.8004999999</v>
      </c>
      <c r="F98" s="185">
        <f ca="1">Data!F97</f>
        <v>847480.43474801758</v>
      </c>
      <c r="G98" s="185">
        <f t="shared" ca="1" si="23"/>
        <v>21933313.764748015</v>
      </c>
      <c r="H98" s="196">
        <f>Data!U97</f>
        <v>533.80000000000007</v>
      </c>
      <c r="I98" s="187">
        <f>Data!X97</f>
        <v>0</v>
      </c>
      <c r="J98" s="225">
        <f t="shared" ca="1" si="31"/>
        <v>549.42000000000007</v>
      </c>
      <c r="K98" s="225">
        <f t="shared" ca="1" si="31"/>
        <v>0</v>
      </c>
      <c r="L98" s="187">
        <f>Data!AG97</f>
        <v>31</v>
      </c>
      <c r="M98" s="187">
        <f>Data!AU97</f>
        <v>0</v>
      </c>
      <c r="N98" s="188">
        <f>Data!M97</f>
        <v>165.06724265343047</v>
      </c>
      <c r="O98" s="187">
        <f>Data!AX97</f>
        <v>96</v>
      </c>
      <c r="P98" s="189">
        <f>Data!K97</f>
        <v>12055</v>
      </c>
      <c r="Q98" s="191"/>
      <c r="R98" s="190">
        <f t="shared" ca="1" si="24"/>
        <v>22105265.77261287</v>
      </c>
      <c r="S98" s="92">
        <f t="shared" ca="1" si="25"/>
        <v>171952.00786485523</v>
      </c>
      <c r="T98" s="93">
        <f t="shared" ca="1" si="21"/>
        <v>8.1548594818972343E-3</v>
      </c>
      <c r="U98"/>
    </row>
    <row r="99" spans="1:23" x14ac:dyDescent="0.2">
      <c r="A99" s="97">
        <f>Purchases!A158</f>
        <v>43466</v>
      </c>
      <c r="B99" s="118">
        <f t="shared" si="20"/>
        <v>2019</v>
      </c>
      <c r="C99" s="118">
        <f t="shared" si="22"/>
        <v>1</v>
      </c>
      <c r="D99" s="186">
        <f>Data!D98</f>
        <v>22756420</v>
      </c>
      <c r="E99" s="186">
        <f>Data!E98</f>
        <v>5895781.54538</v>
      </c>
      <c r="F99" s="185">
        <f ca="1">Data!F98</f>
        <v>896792.23441008932</v>
      </c>
      <c r="G99" s="185">
        <f t="shared" ca="1" si="23"/>
        <v>23653212.234410089</v>
      </c>
      <c r="H99" s="196">
        <f>Data!U98</f>
        <v>711.8</v>
      </c>
      <c r="I99" s="187">
        <f>Data!X98</f>
        <v>0</v>
      </c>
      <c r="J99" s="225">
        <f t="shared" ca="1" si="31"/>
        <v>671.55</v>
      </c>
      <c r="K99" s="225">
        <f t="shared" ca="1" si="31"/>
        <v>0</v>
      </c>
      <c r="L99" s="187">
        <f>Data!AG98</f>
        <v>31</v>
      </c>
      <c r="M99" s="187">
        <f>Data!AU98</f>
        <v>0</v>
      </c>
      <c r="N99" s="188">
        <f>Data!M98</f>
        <v>165.3520188722207</v>
      </c>
      <c r="O99" s="187">
        <f>Data!AX98</f>
        <v>97</v>
      </c>
      <c r="P99" s="189">
        <f>Data!K98</f>
        <v>12070.916666666666</v>
      </c>
      <c r="Q99" s="191"/>
      <c r="R99" s="190">
        <f t="shared" ca="1" si="24"/>
        <v>23210122.073298667</v>
      </c>
      <c r="S99" s="92">
        <f t="shared" ca="1" si="25"/>
        <v>-443090.16111142188</v>
      </c>
      <c r="T99" s="93">
        <f t="shared" ca="1" si="21"/>
        <v>1.9470995926047327E-2</v>
      </c>
      <c r="U99"/>
    </row>
    <row r="100" spans="1:23" x14ac:dyDescent="0.2">
      <c r="A100" s="97">
        <f>Purchases!A159</f>
        <v>43497</v>
      </c>
      <c r="B100" s="118">
        <f t="shared" si="20"/>
        <v>2019</v>
      </c>
      <c r="C100" s="118">
        <f t="shared" si="22"/>
        <v>2</v>
      </c>
      <c r="D100" s="186">
        <f>Data!D99</f>
        <v>20319680</v>
      </c>
      <c r="E100" s="186">
        <f>Data!E99</f>
        <v>6344426.8998599993</v>
      </c>
      <c r="F100" s="185">
        <f ca="1">Data!F99</f>
        <v>898596.21286400827</v>
      </c>
      <c r="G100" s="185">
        <f t="shared" ca="1" si="23"/>
        <v>21218276.212864008</v>
      </c>
      <c r="H100" s="196">
        <f>Data!U99</f>
        <v>580.90000000000009</v>
      </c>
      <c r="I100" s="187">
        <f>Data!X99</f>
        <v>0</v>
      </c>
      <c r="J100" s="225">
        <f t="shared" ca="1" si="31"/>
        <v>591.43000000000006</v>
      </c>
      <c r="K100" s="225">
        <f t="shared" ca="1" si="31"/>
        <v>0</v>
      </c>
      <c r="L100" s="187">
        <f>Data!AG99</f>
        <v>28</v>
      </c>
      <c r="M100" s="187">
        <f>Data!AU99</f>
        <v>0</v>
      </c>
      <c r="N100" s="188">
        <f>Data!M99</f>
        <v>165.63679509101092</v>
      </c>
      <c r="O100" s="187">
        <f>Data!AX99</f>
        <v>98</v>
      </c>
      <c r="P100" s="189">
        <f>Data!K99</f>
        <v>12086.833333333332</v>
      </c>
      <c r="Q100" s="191"/>
      <c r="R100" s="190">
        <f t="shared" ca="1" si="24"/>
        <v>21334195.204081479</v>
      </c>
      <c r="S100" s="92">
        <f t="shared" ca="1" si="25"/>
        <v>115918.99121747166</v>
      </c>
      <c r="T100" s="93">
        <f t="shared" ca="1" si="21"/>
        <v>5.7047646034520064E-3</v>
      </c>
      <c r="U100"/>
    </row>
    <row r="101" spans="1:23" x14ac:dyDescent="0.2">
      <c r="A101" s="97">
        <f>Purchases!A160</f>
        <v>43525</v>
      </c>
      <c r="B101" s="118">
        <f t="shared" si="20"/>
        <v>2019</v>
      </c>
      <c r="C101" s="118">
        <f t="shared" si="22"/>
        <v>3</v>
      </c>
      <c r="D101" s="186">
        <f>Data!D100</f>
        <v>20479900</v>
      </c>
      <c r="E101" s="186">
        <f>Data!E100</f>
        <v>5629704.5296799997</v>
      </c>
      <c r="F101" s="185">
        <f ca="1">Data!F100</f>
        <v>900400.19131792709</v>
      </c>
      <c r="G101" s="185">
        <f t="shared" ca="1" si="23"/>
        <v>21380300.191317927</v>
      </c>
      <c r="H101" s="196">
        <f>Data!U100</f>
        <v>549.4</v>
      </c>
      <c r="I101" s="187">
        <f>Data!X100</f>
        <v>0</v>
      </c>
      <c r="J101" s="225">
        <f t="shared" ca="1" si="31"/>
        <v>493.21999999999997</v>
      </c>
      <c r="K101" s="225">
        <f t="shared" ca="1" si="31"/>
        <v>1.5699999999999998</v>
      </c>
      <c r="L101" s="187">
        <f>Data!AG100</f>
        <v>31</v>
      </c>
      <c r="M101" s="187">
        <f>Data!AU100</f>
        <v>1</v>
      </c>
      <c r="N101" s="188">
        <f>Data!M100</f>
        <v>165.92157130980115</v>
      </c>
      <c r="O101" s="187">
        <f>Data!AX100</f>
        <v>99</v>
      </c>
      <c r="P101" s="189">
        <f>Data!K100</f>
        <v>12102.749999999998</v>
      </c>
      <c r="Q101" s="191"/>
      <c r="R101" s="190">
        <f t="shared" ca="1" si="24"/>
        <v>20833281.769521568</v>
      </c>
      <c r="S101" s="92">
        <f t="shared" ca="1" si="25"/>
        <v>-547018.42179635912</v>
      </c>
      <c r="T101" s="93">
        <f t="shared" ca="1" si="21"/>
        <v>2.6710014296767032E-2</v>
      </c>
      <c r="U101"/>
    </row>
    <row r="102" spans="1:23" x14ac:dyDescent="0.2">
      <c r="A102" s="97">
        <f>Purchases!A161</f>
        <v>43556</v>
      </c>
      <c r="B102" s="118">
        <f t="shared" si="20"/>
        <v>2019</v>
      </c>
      <c r="C102" s="118">
        <f t="shared" si="22"/>
        <v>4</v>
      </c>
      <c r="D102" s="186">
        <f>Data!D101</f>
        <v>17330880</v>
      </c>
      <c r="E102" s="186">
        <f>Data!E101</f>
        <v>5550926.9573600003</v>
      </c>
      <c r="F102" s="185">
        <f ca="1">Data!F101</f>
        <v>902204.16977184603</v>
      </c>
      <c r="G102" s="185">
        <f t="shared" ca="1" si="23"/>
        <v>18233084.169771846</v>
      </c>
      <c r="H102" s="196">
        <f>Data!U101</f>
        <v>278.40000000000003</v>
      </c>
      <c r="I102" s="187">
        <f>Data!X101</f>
        <v>0.39999999999999858</v>
      </c>
      <c r="J102" s="225">
        <f t="shared" ca="1" si="31"/>
        <v>298.61</v>
      </c>
      <c r="K102" s="225">
        <f t="shared" ca="1" si="31"/>
        <v>1.4</v>
      </c>
      <c r="L102" s="187">
        <f>Data!AG101</f>
        <v>30</v>
      </c>
      <c r="M102" s="187">
        <f>Data!AU101</f>
        <v>1</v>
      </c>
      <c r="N102" s="188">
        <f>Data!M101</f>
        <v>166.20634752859138</v>
      </c>
      <c r="O102" s="187">
        <f>Data!AX101</f>
        <v>100</v>
      </c>
      <c r="P102" s="189">
        <f>Data!K101</f>
        <v>12118.666666666664</v>
      </c>
      <c r="Q102" s="191"/>
      <c r="R102" s="190">
        <f t="shared" ca="1" si="24"/>
        <v>18501065.83941545</v>
      </c>
      <c r="S102" s="92">
        <f t="shared" ca="1" si="25"/>
        <v>267981.66964360327</v>
      </c>
      <c r="T102" s="93">
        <f t="shared" ca="1" si="21"/>
        <v>1.5462669503429905E-2</v>
      </c>
      <c r="U102"/>
    </row>
    <row r="103" spans="1:23" x14ac:dyDescent="0.2">
      <c r="A103" s="97">
        <f>Purchases!A162</f>
        <v>43586</v>
      </c>
      <c r="B103" s="118">
        <f t="shared" si="20"/>
        <v>2019</v>
      </c>
      <c r="C103" s="118">
        <f t="shared" si="22"/>
        <v>5</v>
      </c>
      <c r="D103" s="186">
        <f>Data!D102</f>
        <v>17274480</v>
      </c>
      <c r="E103" s="186">
        <f>Data!E102</f>
        <v>4483993.9671200002</v>
      </c>
      <c r="F103" s="185">
        <f ca="1">Data!F102</f>
        <v>904008.14822576486</v>
      </c>
      <c r="G103" s="185">
        <f t="shared" ca="1" si="23"/>
        <v>18178488.148225766</v>
      </c>
      <c r="H103" s="196">
        <f>Data!U102</f>
        <v>139.50000000000006</v>
      </c>
      <c r="I103" s="187">
        <f>Data!X102</f>
        <v>22.3</v>
      </c>
      <c r="J103" s="225">
        <f t="shared" ca="1" si="31"/>
        <v>105.4</v>
      </c>
      <c r="K103" s="225">
        <f t="shared" ca="1" si="31"/>
        <v>59.319999999999993</v>
      </c>
      <c r="L103" s="187">
        <f>Data!AG102</f>
        <v>31</v>
      </c>
      <c r="M103" s="187">
        <f>Data!AU102</f>
        <v>1</v>
      </c>
      <c r="N103" s="188">
        <f>Data!M102</f>
        <v>166.49112374738161</v>
      </c>
      <c r="O103" s="187">
        <f>Data!AX102</f>
        <v>101</v>
      </c>
      <c r="P103" s="189">
        <f>Data!K102</f>
        <v>12134.58333333333</v>
      </c>
      <c r="Q103" s="191"/>
      <c r="R103" s="190">
        <f t="shared" ca="1" si="24"/>
        <v>19487542.196660317</v>
      </c>
      <c r="S103" s="92">
        <f t="shared" ca="1" si="25"/>
        <v>1309054.0484345518</v>
      </c>
      <c r="T103" s="93">
        <f t="shared" ca="1" si="21"/>
        <v>7.5779650005936602E-2</v>
      </c>
      <c r="U103"/>
    </row>
    <row r="104" spans="1:23" x14ac:dyDescent="0.2">
      <c r="A104" s="97">
        <f>Purchases!A163</f>
        <v>43617</v>
      </c>
      <c r="B104" s="118">
        <f t="shared" si="20"/>
        <v>2019</v>
      </c>
      <c r="C104" s="118">
        <f t="shared" si="22"/>
        <v>6</v>
      </c>
      <c r="D104" s="186">
        <f>Data!D103</f>
        <v>19386900</v>
      </c>
      <c r="E104" s="186">
        <f>Data!E103</f>
        <v>4311188.5068800002</v>
      </c>
      <c r="F104" s="185">
        <f ca="1">Data!F103</f>
        <v>905812.12667968369</v>
      </c>
      <c r="G104" s="185">
        <f t="shared" ca="1" si="23"/>
        <v>20292712.126679685</v>
      </c>
      <c r="H104" s="196">
        <f>Data!U103</f>
        <v>23.9</v>
      </c>
      <c r="I104" s="187">
        <f>Data!X103</f>
        <v>103.1</v>
      </c>
      <c r="J104" s="225">
        <f t="shared" ca="1" si="31"/>
        <v>12.239999999999998</v>
      </c>
      <c r="K104" s="225">
        <f t="shared" ca="1" si="31"/>
        <v>147.38999999999999</v>
      </c>
      <c r="L104" s="187">
        <f>Data!AG103</f>
        <v>30</v>
      </c>
      <c r="M104" s="187">
        <f>Data!AU103</f>
        <v>0</v>
      </c>
      <c r="N104" s="188">
        <f>Data!M103</f>
        <v>166.77589996617183</v>
      </c>
      <c r="O104" s="187">
        <f>Data!AX103</f>
        <v>102</v>
      </c>
      <c r="P104" s="189">
        <f>Data!K103</f>
        <v>12150.499999999996</v>
      </c>
      <c r="Q104" s="191"/>
      <c r="R104" s="190">
        <f t="shared" ca="1" si="24"/>
        <v>22179587.150461018</v>
      </c>
      <c r="S104" s="92">
        <f t="shared" ca="1" si="25"/>
        <v>1886875.0237813331</v>
      </c>
      <c r="T104" s="93">
        <f t="shared" ca="1" si="21"/>
        <v>9.7327320189475014E-2</v>
      </c>
      <c r="U104"/>
    </row>
    <row r="105" spans="1:23" x14ac:dyDescent="0.2">
      <c r="A105" s="97">
        <f>Purchases!A164</f>
        <v>43647</v>
      </c>
      <c r="B105" s="118">
        <f t="shared" si="20"/>
        <v>2019</v>
      </c>
      <c r="C105" s="118">
        <f t="shared" si="22"/>
        <v>7</v>
      </c>
      <c r="D105" s="186">
        <f>Data!D104</f>
        <v>27626160</v>
      </c>
      <c r="E105" s="186">
        <f>Data!E104</f>
        <v>4945910.2180999992</v>
      </c>
      <c r="F105" s="185">
        <f ca="1">Data!F104</f>
        <v>907616.10513360263</v>
      </c>
      <c r="G105" s="185">
        <f t="shared" ca="1" si="23"/>
        <v>28533776.105133604</v>
      </c>
      <c r="H105" s="196">
        <f>Data!U104</f>
        <v>0</v>
      </c>
      <c r="I105" s="187">
        <f>Data!X104</f>
        <v>253.60000000000002</v>
      </c>
      <c r="J105" s="225">
        <f t="shared" ca="1" si="31"/>
        <v>1.0100000000000002</v>
      </c>
      <c r="K105" s="225">
        <f t="shared" ca="1" si="31"/>
        <v>229.98999999999995</v>
      </c>
      <c r="L105" s="187">
        <f>Data!AG104</f>
        <v>31</v>
      </c>
      <c r="M105" s="187">
        <f>Data!AU104</f>
        <v>0</v>
      </c>
      <c r="N105" s="188">
        <f>Data!M104</f>
        <v>167.06067618496206</v>
      </c>
      <c r="O105" s="187">
        <f>Data!AX104</f>
        <v>103</v>
      </c>
      <c r="P105" s="189">
        <f>Data!K104</f>
        <v>12166.416666666662</v>
      </c>
      <c r="Q105" s="191"/>
      <c r="R105" s="190">
        <f t="shared" ca="1" si="24"/>
        <v>27470619.082794525</v>
      </c>
      <c r="S105" s="92">
        <f t="shared" ca="1" si="25"/>
        <v>-1063157.0223390795</v>
      </c>
      <c r="T105" s="93">
        <f t="shared" ca="1" si="21"/>
        <v>3.8483706108235073E-2</v>
      </c>
      <c r="U105"/>
    </row>
    <row r="106" spans="1:23" x14ac:dyDescent="0.2">
      <c r="A106" s="97">
        <f>Purchases!A165</f>
        <v>43678</v>
      </c>
      <c r="B106" s="118">
        <f t="shared" si="20"/>
        <v>2019</v>
      </c>
      <c r="C106" s="118">
        <f t="shared" si="22"/>
        <v>8</v>
      </c>
      <c r="D106" s="186">
        <f>Data!D105</f>
        <v>24612440</v>
      </c>
      <c r="E106" s="186">
        <f>Data!E105</f>
        <v>7444291.86326</v>
      </c>
      <c r="F106" s="185">
        <f ca="1">Data!F105</f>
        <v>909420.08358752145</v>
      </c>
      <c r="G106" s="185">
        <f t="shared" ca="1" si="23"/>
        <v>25521860.08358752</v>
      </c>
      <c r="H106" s="196">
        <f>Data!U105</f>
        <v>0.39999999999999858</v>
      </c>
      <c r="I106" s="187">
        <f>Data!X105</f>
        <v>187.09999999999994</v>
      </c>
      <c r="J106" s="225">
        <f t="shared" ca="1" si="31"/>
        <v>2.3899999999999997</v>
      </c>
      <c r="K106" s="225">
        <f t="shared" ca="1" si="31"/>
        <v>185.42</v>
      </c>
      <c r="L106" s="187">
        <f>Data!AG105</f>
        <v>31</v>
      </c>
      <c r="M106" s="187">
        <f>Data!AU105</f>
        <v>0</v>
      </c>
      <c r="N106" s="188">
        <f>Data!M105</f>
        <v>167.34545240375229</v>
      </c>
      <c r="O106" s="187">
        <f>Data!AX105</f>
        <v>104</v>
      </c>
      <c r="P106" s="189">
        <f>Data!K105</f>
        <v>12182.333333333328</v>
      </c>
      <c r="Q106" s="191"/>
      <c r="R106" s="190">
        <f t="shared" ca="1" si="24"/>
        <v>25467325.438655723</v>
      </c>
      <c r="S106" s="92">
        <f t="shared" ca="1" si="25"/>
        <v>-54534.644931796938</v>
      </c>
      <c r="T106" s="93">
        <f t="shared" ca="1" si="21"/>
        <v>2.2157350076545414E-3</v>
      </c>
      <c r="U106"/>
    </row>
    <row r="107" spans="1:23" x14ac:dyDescent="0.2">
      <c r="A107" s="97">
        <f>Purchases!A166</f>
        <v>43709</v>
      </c>
      <c r="B107" s="118">
        <f t="shared" si="20"/>
        <v>2019</v>
      </c>
      <c r="C107" s="118">
        <f t="shared" si="22"/>
        <v>9</v>
      </c>
      <c r="D107" s="186">
        <f>Data!D106</f>
        <v>20453280</v>
      </c>
      <c r="E107" s="186">
        <f>Data!E106</f>
        <v>6404989.5357000008</v>
      </c>
      <c r="F107" s="185">
        <f ca="1">Data!F106</f>
        <v>911224.0620414404</v>
      </c>
      <c r="G107" s="185">
        <f t="shared" ca="1" si="23"/>
        <v>21364504.062041439</v>
      </c>
      <c r="H107" s="196">
        <f>Data!U106</f>
        <v>14.699999999999998</v>
      </c>
      <c r="I107" s="187">
        <f>Data!X106</f>
        <v>98.300000000000011</v>
      </c>
      <c r="J107" s="225">
        <f t="shared" ca="1" si="31"/>
        <v>45.749999999999993</v>
      </c>
      <c r="K107" s="225">
        <f t="shared" ca="1" si="31"/>
        <v>88.07</v>
      </c>
      <c r="L107" s="187">
        <f>Data!AG106</f>
        <v>30</v>
      </c>
      <c r="M107" s="187">
        <f>Data!AU106</f>
        <v>0</v>
      </c>
      <c r="N107" s="188">
        <f>Data!M106</f>
        <v>167.63022862254252</v>
      </c>
      <c r="O107" s="187">
        <f>Data!AX106</f>
        <v>105</v>
      </c>
      <c r="P107" s="189">
        <f>Data!K106</f>
        <v>12198.249999999995</v>
      </c>
      <c r="Q107" s="191"/>
      <c r="R107" s="190">
        <f t="shared" ca="1" si="24"/>
        <v>21240842.564420223</v>
      </c>
      <c r="S107" s="92">
        <f t="shared" ca="1" si="25"/>
        <v>-123661.49762121588</v>
      </c>
      <c r="T107" s="93">
        <f t="shared" ca="1" si="21"/>
        <v>6.0460472658280667E-3</v>
      </c>
      <c r="U107"/>
    </row>
    <row r="108" spans="1:23" x14ac:dyDescent="0.2">
      <c r="A108" s="97">
        <f>Purchases!A167</f>
        <v>43739</v>
      </c>
      <c r="B108" s="118">
        <f t="shared" si="20"/>
        <v>2019</v>
      </c>
      <c r="C108" s="118">
        <f t="shared" si="22"/>
        <v>10</v>
      </c>
      <c r="D108" s="186">
        <f>Data!D107</f>
        <v>17608300</v>
      </c>
      <c r="E108" s="186">
        <f>Data!E107</f>
        <v>5117054.9380399995</v>
      </c>
      <c r="F108" s="185">
        <f ca="1">Data!F107</f>
        <v>913028.04049535922</v>
      </c>
      <c r="G108" s="185">
        <f t="shared" ca="1" si="23"/>
        <v>18521328.040495358</v>
      </c>
      <c r="H108" s="196">
        <f>Data!U107</f>
        <v>204.10000000000002</v>
      </c>
      <c r="I108" s="187">
        <f>Data!X107</f>
        <v>13.3</v>
      </c>
      <c r="J108" s="225">
        <f t="shared" ca="1" si="31"/>
        <v>200.71</v>
      </c>
      <c r="K108" s="225">
        <f t="shared" ca="1" si="31"/>
        <v>17.57</v>
      </c>
      <c r="L108" s="187">
        <f>Data!AG107</f>
        <v>31</v>
      </c>
      <c r="M108" s="187">
        <f>Data!AU107</f>
        <v>0</v>
      </c>
      <c r="N108" s="188">
        <f>Data!M107</f>
        <v>167.91500484133275</v>
      </c>
      <c r="O108" s="187">
        <f>Data!AX107</f>
        <v>106</v>
      </c>
      <c r="P108" s="189">
        <f>Data!K107</f>
        <v>12214.166666666661</v>
      </c>
      <c r="Q108" s="191"/>
      <c r="R108" s="190">
        <f t="shared" ca="1" si="24"/>
        <v>18678298.108940583</v>
      </c>
      <c r="S108" s="92">
        <f t="shared" ca="1" si="25"/>
        <v>156970.06844522431</v>
      </c>
      <c r="T108" s="93">
        <f t="shared" ca="1" si="21"/>
        <v>8.914549868256693E-3</v>
      </c>
      <c r="U108"/>
    </row>
    <row r="109" spans="1:23" x14ac:dyDescent="0.2">
      <c r="A109" s="97">
        <f>Purchases!A168</f>
        <v>43770</v>
      </c>
      <c r="B109" s="118">
        <f t="shared" si="20"/>
        <v>2019</v>
      </c>
      <c r="C109" s="118">
        <f t="shared" si="22"/>
        <v>11</v>
      </c>
      <c r="D109" s="186">
        <f>Data!D108</f>
        <v>19781220</v>
      </c>
      <c r="E109" s="186">
        <f>Data!E108</f>
        <v>4459105.9743999988</v>
      </c>
      <c r="F109" s="185">
        <f ca="1">Data!F108</f>
        <v>914832.01894927805</v>
      </c>
      <c r="G109" s="185">
        <f t="shared" ca="1" si="23"/>
        <v>20696052.018949278</v>
      </c>
      <c r="H109" s="196">
        <f>Data!U108</f>
        <v>495.19999999999993</v>
      </c>
      <c r="I109" s="187">
        <f>Data!X108</f>
        <v>0</v>
      </c>
      <c r="J109" s="225">
        <f t="shared" ca="1" si="31"/>
        <v>400.69</v>
      </c>
      <c r="K109" s="225">
        <f t="shared" ca="1" si="31"/>
        <v>0.43999999999999984</v>
      </c>
      <c r="L109" s="187">
        <f>Data!AG108</f>
        <v>30</v>
      </c>
      <c r="M109" s="187">
        <f>Data!AU108</f>
        <v>0</v>
      </c>
      <c r="N109" s="188">
        <f>Data!M108</f>
        <v>168.19978106012297</v>
      </c>
      <c r="O109" s="187">
        <f>Data!AX108</f>
        <v>107</v>
      </c>
      <c r="P109" s="189">
        <f>Data!K108</f>
        <v>12230.083333333327</v>
      </c>
      <c r="Q109" s="191"/>
      <c r="R109" s="190">
        <f t="shared" ca="1" si="24"/>
        <v>19675663.678429537</v>
      </c>
      <c r="S109" s="92">
        <f t="shared" ca="1" si="25"/>
        <v>-1020388.3405197412</v>
      </c>
      <c r="T109" s="93">
        <f t="shared" ca="1" si="21"/>
        <v>5.1583691022077563E-2</v>
      </c>
      <c r="U109"/>
    </row>
    <row r="110" spans="1:23" x14ac:dyDescent="0.2">
      <c r="A110" s="97">
        <f>Purchases!A169</f>
        <v>43800</v>
      </c>
      <c r="B110" s="118">
        <f t="shared" si="20"/>
        <v>2019</v>
      </c>
      <c r="C110" s="118">
        <f t="shared" si="22"/>
        <v>12</v>
      </c>
      <c r="D110" s="186">
        <f>Data!D109</f>
        <v>21302160</v>
      </c>
      <c r="E110" s="186">
        <f>Data!E109</f>
        <v>5345813.8230799995</v>
      </c>
      <c r="F110" s="185">
        <f ca="1">Data!F109</f>
        <v>916635.99740319699</v>
      </c>
      <c r="G110" s="185">
        <f t="shared" ca="1" si="23"/>
        <v>22218795.997403197</v>
      </c>
      <c r="H110" s="196">
        <f>Data!U109</f>
        <v>527.90000000000009</v>
      </c>
      <c r="I110" s="187">
        <f>Data!X109</f>
        <v>0</v>
      </c>
      <c r="J110" s="225">
        <f t="shared" ca="1" si="31"/>
        <v>549.42000000000007</v>
      </c>
      <c r="K110" s="225">
        <f t="shared" ca="1" si="31"/>
        <v>0</v>
      </c>
      <c r="L110" s="187">
        <f>Data!AG109</f>
        <v>31</v>
      </c>
      <c r="M110" s="187">
        <f>Data!AU109</f>
        <v>0</v>
      </c>
      <c r="N110" s="188">
        <f>Data!M109</f>
        <v>168.4845572789132</v>
      </c>
      <c r="O110" s="187">
        <f>Data!AX109</f>
        <v>108</v>
      </c>
      <c r="P110" s="189">
        <f>Data!K109</f>
        <v>12173</v>
      </c>
      <c r="Q110" s="191"/>
      <c r="R110" s="190">
        <f t="shared" ca="1" si="24"/>
        <v>22455697.867393702</v>
      </c>
      <c r="S110" s="92">
        <f t="shared" ca="1" si="25"/>
        <v>236901.86999050528</v>
      </c>
      <c r="T110" s="93">
        <f t="shared" ca="1" si="21"/>
        <v>1.1121025754688974E-2</v>
      </c>
      <c r="U110"/>
    </row>
    <row r="111" spans="1:23" x14ac:dyDescent="0.2">
      <c r="A111" s="97">
        <f>Purchases!A170</f>
        <v>43831</v>
      </c>
      <c r="B111" s="118">
        <f t="shared" si="20"/>
        <v>2020</v>
      </c>
      <c r="C111" s="118">
        <f t="shared" si="22"/>
        <v>1</v>
      </c>
      <c r="D111" s="186">
        <f>Data!D110</f>
        <v>21866419.999999996</v>
      </c>
      <c r="E111" s="186">
        <f>Data!E110</f>
        <v>5957914.3985799998</v>
      </c>
      <c r="F111" s="185">
        <f ca="1">Data!F110</f>
        <v>917901.90536950564</v>
      </c>
      <c r="G111" s="185">
        <f t="shared" ca="1" si="23"/>
        <v>22784321.905369502</v>
      </c>
      <c r="H111" s="196">
        <f>Data!U110</f>
        <v>561.20000000000016</v>
      </c>
      <c r="I111" s="187">
        <f>Data!X110</f>
        <v>0</v>
      </c>
      <c r="J111" s="225">
        <f t="shared" ca="1" si="31"/>
        <v>671.55</v>
      </c>
      <c r="K111" s="225">
        <f t="shared" ca="1" si="31"/>
        <v>0</v>
      </c>
      <c r="L111" s="187">
        <f>Data!AG110</f>
        <v>31</v>
      </c>
      <c r="M111" s="187">
        <f>Data!AU110</f>
        <v>0</v>
      </c>
      <c r="N111" s="188">
        <f>Data!M110</f>
        <v>167.77951400666052</v>
      </c>
      <c r="O111" s="187">
        <f>Data!AX110</f>
        <v>109</v>
      </c>
      <c r="P111" s="189">
        <f>Data!K110</f>
        <v>12181.791304500977</v>
      </c>
      <c r="Q111" s="191"/>
      <c r="R111" s="190">
        <f ca="1">G111+(J111-H111)*$V$18+(K111-I111)*$V$19</f>
        <v>23999104.4961433</v>
      </c>
      <c r="S111" s="92">
        <f t="shared" ca="1" si="25"/>
        <v>1214782.5907737985</v>
      </c>
      <c r="T111" s="93">
        <f t="shared" ca="1" si="21"/>
        <v>5.555470857935587E-2</v>
      </c>
      <c r="U111" s="109"/>
      <c r="V111" s="109"/>
    </row>
    <row r="112" spans="1:23" x14ac:dyDescent="0.2">
      <c r="A112" s="97">
        <f>Purchases!A171</f>
        <v>43862</v>
      </c>
      <c r="B112" s="118">
        <f t="shared" si="20"/>
        <v>2020</v>
      </c>
      <c r="C112" s="118">
        <f t="shared" si="22"/>
        <v>2</v>
      </c>
      <c r="D112" s="186">
        <f>Data!D111</f>
        <v>20225660</v>
      </c>
      <c r="E112" s="186">
        <f>Data!E111</f>
        <v>5929405.9422800001</v>
      </c>
      <c r="F112" s="185">
        <f ca="1">Data!F111</f>
        <v>916389.01300639787</v>
      </c>
      <c r="G112" s="185">
        <f t="shared" ca="1" si="23"/>
        <v>21142049.013006397</v>
      </c>
      <c r="H112" s="196">
        <f>Data!U111</f>
        <v>569.29999999999984</v>
      </c>
      <c r="I112" s="187">
        <f>Data!X111</f>
        <v>0</v>
      </c>
      <c r="J112" s="225">
        <f t="shared" ca="1" si="31"/>
        <v>591.43000000000006</v>
      </c>
      <c r="K112" s="225">
        <f t="shared" ca="1" si="31"/>
        <v>0</v>
      </c>
      <c r="L112" s="187">
        <f>Data!AG111</f>
        <v>29</v>
      </c>
      <c r="M112" s="187">
        <f>Data!AU111</f>
        <v>0</v>
      </c>
      <c r="N112" s="188">
        <f>Data!M111</f>
        <v>167.07447073440784</v>
      </c>
      <c r="O112" s="187">
        <f>Data!AX111</f>
        <v>110</v>
      </c>
      <c r="P112" s="189">
        <f>Data!K111</f>
        <v>12190.582609001955</v>
      </c>
      <c r="Q112" s="191"/>
      <c r="R112" s="190">
        <f t="shared" ca="1" si="24"/>
        <v>21385666.038233623</v>
      </c>
      <c r="S112" s="92">
        <f t="shared" ca="1" si="25"/>
        <v>243617.02522722632</v>
      </c>
      <c r="T112" s="93">
        <f t="shared" ca="1" si="21"/>
        <v>1.2044948111815699E-2</v>
      </c>
      <c r="U112" s="109"/>
      <c r="V112" s="109"/>
      <c r="W112" s="46"/>
    </row>
    <row r="113" spans="1:23" x14ac:dyDescent="0.2">
      <c r="A113" s="97">
        <f>Purchases!A172</f>
        <v>43891</v>
      </c>
      <c r="B113" s="118">
        <f t="shared" si="20"/>
        <v>2020</v>
      </c>
      <c r="C113" s="118">
        <f t="shared" si="22"/>
        <v>3</v>
      </c>
      <c r="D113" s="186">
        <f>Data!D112</f>
        <v>19574300</v>
      </c>
      <c r="E113" s="186">
        <f>Data!E112</f>
        <v>5454114.7809799993</v>
      </c>
      <c r="F113" s="185">
        <f ca="1">Data!F112</f>
        <v>914876.12064328999</v>
      </c>
      <c r="G113" s="185">
        <f t="shared" ca="1" si="23"/>
        <v>20489176.120643292</v>
      </c>
      <c r="H113" s="196">
        <f>Data!U112</f>
        <v>422.2</v>
      </c>
      <c r="I113" s="187">
        <f>Data!X112</f>
        <v>0</v>
      </c>
      <c r="J113" s="225">
        <f t="shared" ca="1" si="31"/>
        <v>493.21999999999997</v>
      </c>
      <c r="K113" s="225">
        <f t="shared" ca="1" si="31"/>
        <v>1.5699999999999998</v>
      </c>
      <c r="L113" s="187">
        <f>Data!AG112</f>
        <v>31</v>
      </c>
      <c r="M113" s="187">
        <f>Data!AU112</f>
        <v>1</v>
      </c>
      <c r="N113" s="188">
        <f>Data!M112</f>
        <v>166.36942746215516</v>
      </c>
      <c r="O113" s="187">
        <f>Data!AX112</f>
        <v>111</v>
      </c>
      <c r="P113" s="189">
        <f>Data!K112</f>
        <v>12199.373913502932</v>
      </c>
      <c r="Q113" s="191"/>
      <c r="R113" s="190">
        <f t="shared" ca="1" si="24"/>
        <v>21342432.692471106</v>
      </c>
      <c r="S113" s="92">
        <f t="shared" ca="1" si="25"/>
        <v>853256.57182781398</v>
      </c>
      <c r="T113" s="93">
        <f t="shared" ca="1" si="21"/>
        <v>4.3590655697920949E-2</v>
      </c>
      <c r="U113" s="109"/>
      <c r="V113" s="109"/>
    </row>
    <row r="114" spans="1:23" x14ac:dyDescent="0.2">
      <c r="A114" s="97">
        <f>Purchases!A173</f>
        <v>43922</v>
      </c>
      <c r="B114" s="118">
        <f t="shared" si="20"/>
        <v>2020</v>
      </c>
      <c r="C114" s="118">
        <f t="shared" si="22"/>
        <v>4</v>
      </c>
      <c r="D114" s="186">
        <f>Data!D113</f>
        <v>16976080</v>
      </c>
      <c r="E114" s="186">
        <f>Data!E113</f>
        <v>5165860.59626</v>
      </c>
      <c r="F114" s="185">
        <f ca="1">Data!F113</f>
        <v>913363.22828018223</v>
      </c>
      <c r="G114" s="185">
        <f t="shared" ca="1" si="23"/>
        <v>17889443.228280183</v>
      </c>
      <c r="H114" s="196">
        <f>Data!U113</f>
        <v>336.5</v>
      </c>
      <c r="I114" s="187">
        <f>Data!X113</f>
        <v>0</v>
      </c>
      <c r="J114" s="225">
        <f t="shared" ca="1" si="31"/>
        <v>298.61</v>
      </c>
      <c r="K114" s="225">
        <f t="shared" ca="1" si="31"/>
        <v>1.4</v>
      </c>
      <c r="L114" s="187">
        <f>Data!AG113</f>
        <v>30</v>
      </c>
      <c r="M114" s="187">
        <f>Data!AU113</f>
        <v>1</v>
      </c>
      <c r="N114" s="188">
        <f>Data!M113</f>
        <v>165.66438418990248</v>
      </c>
      <c r="O114" s="187">
        <f>Data!AX113</f>
        <v>112</v>
      </c>
      <c r="P114" s="189">
        <f>Data!K113</f>
        <v>12208.165218003909</v>
      </c>
      <c r="Q114" s="191"/>
      <c r="R114" s="190">
        <f t="shared" ca="1" si="24"/>
        <v>17536034.231048349</v>
      </c>
      <c r="S114" s="92">
        <f t="shared" ca="1" si="25"/>
        <v>-353408.99723183364</v>
      </c>
      <c r="T114" s="93">
        <f t="shared" ca="1" si="21"/>
        <v>2.0818056773520957E-2</v>
      </c>
      <c r="U114" s="109"/>
      <c r="V114" s="109"/>
    </row>
    <row r="115" spans="1:23" x14ac:dyDescent="0.2">
      <c r="A115" s="97">
        <f>Purchases!A174</f>
        <v>43952</v>
      </c>
      <c r="B115" s="118">
        <f t="shared" si="20"/>
        <v>2020</v>
      </c>
      <c r="C115" s="118">
        <f t="shared" si="22"/>
        <v>5</v>
      </c>
      <c r="D115" s="186">
        <f>Data!D114</f>
        <v>17713720</v>
      </c>
      <c r="E115" s="186">
        <f>Data!E114</f>
        <v>4799083.8038800005</v>
      </c>
      <c r="F115" s="185">
        <f ca="1">Data!F114</f>
        <v>911850.33591707447</v>
      </c>
      <c r="G115" s="185">
        <f t="shared" ca="1" si="23"/>
        <v>18625570.335917074</v>
      </c>
      <c r="H115" s="196">
        <f>Data!U114</f>
        <v>160.50000000000003</v>
      </c>
      <c r="I115" s="187">
        <f>Data!X114</f>
        <v>43.2</v>
      </c>
      <c r="J115" s="225">
        <f t="shared" ref="J115:K134" ca="1" si="32">J103</f>
        <v>105.4</v>
      </c>
      <c r="K115" s="225">
        <f t="shared" ca="1" si="32"/>
        <v>59.319999999999993</v>
      </c>
      <c r="L115" s="187">
        <f>Data!AG114</f>
        <v>31</v>
      </c>
      <c r="M115" s="187">
        <f>Data!AU114</f>
        <v>1</v>
      </c>
      <c r="N115" s="188">
        <f>Data!M114</f>
        <v>164.9593409176498</v>
      </c>
      <c r="O115" s="187">
        <f>Data!AX114</f>
        <v>113</v>
      </c>
      <c r="P115" s="189">
        <f>Data!K114</f>
        <v>12216.956522504886</v>
      </c>
      <c r="Q115" s="191"/>
      <c r="R115" s="190">
        <f t="shared" ca="1" si="24"/>
        <v>18752478.710622739</v>
      </c>
      <c r="S115" s="92">
        <f t="shared" ca="1" si="25"/>
        <v>126908.37470566481</v>
      </c>
      <c r="T115" s="93">
        <f t="shared" ca="1" si="21"/>
        <v>7.1644112420013875E-3</v>
      </c>
      <c r="U115" s="109"/>
      <c r="V115" s="109"/>
    </row>
    <row r="116" spans="1:23" x14ac:dyDescent="0.2">
      <c r="A116" s="97">
        <f>Purchases!A175</f>
        <v>43983</v>
      </c>
      <c r="B116" s="118">
        <f t="shared" si="20"/>
        <v>2020</v>
      </c>
      <c r="C116" s="118">
        <f t="shared" si="22"/>
        <v>6</v>
      </c>
      <c r="D116" s="186">
        <f>Data!D115</f>
        <v>22065520</v>
      </c>
      <c r="E116" s="186">
        <f>Data!E115</f>
        <v>4820394.2487199996</v>
      </c>
      <c r="F116" s="185">
        <f ca="1">Data!F115</f>
        <v>910337.4435539667</v>
      </c>
      <c r="G116" s="185">
        <f t="shared" ca="1" si="23"/>
        <v>22975857.443553966</v>
      </c>
      <c r="H116" s="196">
        <f>Data!U115</f>
        <v>10.799999999999999</v>
      </c>
      <c r="I116" s="187">
        <f>Data!X115</f>
        <v>164.9</v>
      </c>
      <c r="J116" s="225">
        <f t="shared" ca="1" si="32"/>
        <v>12.239999999999998</v>
      </c>
      <c r="K116" s="225">
        <f t="shared" ca="1" si="32"/>
        <v>147.38999999999999</v>
      </c>
      <c r="L116" s="187">
        <f>Data!AG115</f>
        <v>30</v>
      </c>
      <c r="M116" s="187">
        <f>Data!AU115</f>
        <v>0</v>
      </c>
      <c r="N116" s="188">
        <f>Data!M115</f>
        <v>164.25429764539712</v>
      </c>
      <c r="O116" s="187">
        <f>Data!AX115</f>
        <v>114</v>
      </c>
      <c r="P116" s="189">
        <f>Data!K115</f>
        <v>12225.747827005864</v>
      </c>
      <c r="Q116" s="191"/>
      <c r="R116" s="190">
        <f t="shared" ca="1" si="24"/>
        <v>22194989.366719145</v>
      </c>
      <c r="S116" s="92">
        <f t="shared" ca="1" si="25"/>
        <v>-780868.07683482021</v>
      </c>
      <c r="T116" s="93">
        <f t="shared" ca="1" si="21"/>
        <v>3.5388609778279422E-2</v>
      </c>
      <c r="U116" s="109"/>
      <c r="V116" s="109"/>
    </row>
    <row r="117" spans="1:23" x14ac:dyDescent="0.2">
      <c r="A117" s="97">
        <f>Purchases!A176</f>
        <v>44013</v>
      </c>
      <c r="B117" s="118">
        <f t="shared" si="20"/>
        <v>2020</v>
      </c>
      <c r="C117" s="118">
        <f t="shared" si="22"/>
        <v>7</v>
      </c>
      <c r="D117" s="186">
        <f>Data!D116</f>
        <v>28192460</v>
      </c>
      <c r="E117" s="186">
        <f>Data!E116</f>
        <v>5894883.4938199995</v>
      </c>
      <c r="F117" s="185">
        <f ca="1">Data!F116</f>
        <v>908824.55119085894</v>
      </c>
      <c r="G117" s="185">
        <f t="shared" ca="1" si="23"/>
        <v>29101284.551190861</v>
      </c>
      <c r="H117" s="196">
        <f>Data!U116</f>
        <v>0</v>
      </c>
      <c r="I117" s="187">
        <f>Data!X116</f>
        <v>267.70000000000005</v>
      </c>
      <c r="J117" s="225">
        <f t="shared" ca="1" si="32"/>
        <v>1.0100000000000002</v>
      </c>
      <c r="K117" s="225">
        <f t="shared" ca="1" si="32"/>
        <v>229.98999999999995</v>
      </c>
      <c r="L117" s="187">
        <f>Data!AG116</f>
        <v>31</v>
      </c>
      <c r="M117" s="187">
        <f>Data!AU116</f>
        <v>0</v>
      </c>
      <c r="N117" s="188">
        <f>Data!M116</f>
        <v>163.54925437314444</v>
      </c>
      <c r="O117" s="187">
        <f>Data!AX116</f>
        <v>115</v>
      </c>
      <c r="P117" s="189">
        <f>Data!K116</f>
        <v>12234.539131506841</v>
      </c>
      <c r="Q117" s="191"/>
      <c r="R117" s="190">
        <f t="shared" ca="1" si="24"/>
        <v>27396565.251484968</v>
      </c>
      <c r="S117" s="92">
        <f t="shared" ca="1" si="25"/>
        <v>-1704719.2997058928</v>
      </c>
      <c r="T117" s="93">
        <f t="shared" ca="1" si="21"/>
        <v>6.0467206469598356E-2</v>
      </c>
      <c r="U117" s="109"/>
      <c r="V117" s="109"/>
    </row>
    <row r="118" spans="1:23" x14ac:dyDescent="0.2">
      <c r="A118" s="97">
        <f>Purchases!A177</f>
        <v>44044</v>
      </c>
      <c r="B118" s="118">
        <f t="shared" si="20"/>
        <v>2020</v>
      </c>
      <c r="C118" s="118">
        <f t="shared" si="22"/>
        <v>8</v>
      </c>
      <c r="D118" s="186">
        <f>Data!D117</f>
        <v>24252200</v>
      </c>
      <c r="E118" s="186">
        <f>Data!E117</f>
        <v>7735321.2992799999</v>
      </c>
      <c r="F118" s="185">
        <f ca="1">Data!F117</f>
        <v>907311.65882775106</v>
      </c>
      <c r="G118" s="185">
        <f t="shared" ca="1" si="23"/>
        <v>25159511.658827752</v>
      </c>
      <c r="H118" s="196">
        <f>Data!U117</f>
        <v>0</v>
      </c>
      <c r="I118" s="187">
        <f>Data!X117</f>
        <v>186.59999999999997</v>
      </c>
      <c r="J118" s="225">
        <f t="shared" ca="1" si="32"/>
        <v>2.3899999999999997</v>
      </c>
      <c r="K118" s="225">
        <f t="shared" ca="1" si="32"/>
        <v>185.42</v>
      </c>
      <c r="L118" s="187">
        <f>Data!AG117</f>
        <v>31</v>
      </c>
      <c r="M118" s="187">
        <f>Data!AU117</f>
        <v>0</v>
      </c>
      <c r="N118" s="188">
        <f>Data!M117</f>
        <v>162.84421110089175</v>
      </c>
      <c r="O118" s="187">
        <f>Data!AX117</f>
        <v>116</v>
      </c>
      <c r="P118" s="189">
        <f>Data!K117</f>
        <v>12243.330436007818</v>
      </c>
      <c r="Q118" s="191"/>
      <c r="R118" s="190">
        <f t="shared" ca="1" si="24"/>
        <v>25132130.829746667</v>
      </c>
      <c r="S118" s="92">
        <f t="shared" ca="1" si="25"/>
        <v>-27380.829081084579</v>
      </c>
      <c r="T118" s="93">
        <f t="shared" ca="1" si="21"/>
        <v>1.1290039287604663E-3</v>
      </c>
      <c r="U118" s="109"/>
      <c r="V118" s="109"/>
    </row>
    <row r="119" spans="1:23" x14ac:dyDescent="0.2">
      <c r="A119" s="97">
        <f>Purchases!A178</f>
        <v>44075</v>
      </c>
      <c r="B119" s="118">
        <f t="shared" si="20"/>
        <v>2020</v>
      </c>
      <c r="C119" s="118">
        <f t="shared" si="22"/>
        <v>9</v>
      </c>
      <c r="D119" s="186">
        <f>Data!D118</f>
        <v>18691553.740000002</v>
      </c>
      <c r="E119" s="186">
        <f>Data!E118</f>
        <v>6564005.04648</v>
      </c>
      <c r="F119" s="185">
        <f ca="1">Data!F118</f>
        <v>905798.7664646433</v>
      </c>
      <c r="G119" s="185">
        <f t="shared" ca="1" si="23"/>
        <v>19597352.506464645</v>
      </c>
      <c r="H119" s="196">
        <f>Data!U118</f>
        <v>62</v>
      </c>
      <c r="I119" s="187">
        <f>Data!X118</f>
        <v>57.9</v>
      </c>
      <c r="J119" s="225">
        <f t="shared" ca="1" si="32"/>
        <v>45.749999999999993</v>
      </c>
      <c r="K119" s="225">
        <f t="shared" ca="1" si="32"/>
        <v>88.07</v>
      </c>
      <c r="L119" s="187">
        <f>Data!AG118</f>
        <v>30</v>
      </c>
      <c r="M119" s="187">
        <f>Data!AU118</f>
        <v>0</v>
      </c>
      <c r="N119" s="188">
        <f>Data!M118</f>
        <v>162.13916782863907</v>
      </c>
      <c r="O119" s="187">
        <f>Data!AX118</f>
        <v>117</v>
      </c>
      <c r="P119" s="189">
        <f>Data!K118</f>
        <v>12252.121740508795</v>
      </c>
      <c r="Q119" s="191"/>
      <c r="R119" s="190">
        <f t="shared" ca="1" si="24"/>
        <v>20791226.444420949</v>
      </c>
      <c r="S119" s="92">
        <f t="shared" ca="1" si="25"/>
        <v>1193873.9379563034</v>
      </c>
      <c r="T119" s="93">
        <f t="shared" ca="1" si="21"/>
        <v>6.3872375435617648E-2</v>
      </c>
      <c r="U119" s="109"/>
      <c r="V119" s="109"/>
    </row>
    <row r="120" spans="1:23" x14ac:dyDescent="0.2">
      <c r="A120" s="97">
        <f>Purchases!A179</f>
        <v>44105</v>
      </c>
      <c r="B120" s="118">
        <f t="shared" si="20"/>
        <v>2020</v>
      </c>
      <c r="C120" s="118">
        <f t="shared" si="22"/>
        <v>10</v>
      </c>
      <c r="D120" s="186">
        <f>Data!D119</f>
        <v>17010864.789999999</v>
      </c>
      <c r="E120" s="186">
        <f>Data!E119</f>
        <v>4055885.1912000002</v>
      </c>
      <c r="F120" s="185">
        <f ca="1">Data!F119</f>
        <v>904285.87410153553</v>
      </c>
      <c r="G120" s="185">
        <f t="shared" ca="1" si="23"/>
        <v>17915150.664101534</v>
      </c>
      <c r="H120" s="196">
        <f>Data!U119</f>
        <v>239.7</v>
      </c>
      <c r="I120" s="187">
        <f>Data!X119</f>
        <v>4.9000000000000021</v>
      </c>
      <c r="J120" s="225">
        <f t="shared" ca="1" si="32"/>
        <v>200.71</v>
      </c>
      <c r="K120" s="225">
        <f t="shared" ca="1" si="32"/>
        <v>17.57</v>
      </c>
      <c r="L120" s="187">
        <f>Data!AG119</f>
        <v>31</v>
      </c>
      <c r="M120" s="187">
        <f>Data!AU119</f>
        <v>0</v>
      </c>
      <c r="N120" s="188">
        <f>Data!M119</f>
        <v>161.43412455638639</v>
      </c>
      <c r="O120" s="187">
        <f>Data!AX119</f>
        <v>118</v>
      </c>
      <c r="P120" s="189">
        <f>Data!K119</f>
        <v>12260.913045009773</v>
      </c>
      <c r="Q120" s="191"/>
      <c r="R120" s="190">
        <f t="shared" ca="1" si="24"/>
        <v>18062427.183727283</v>
      </c>
      <c r="S120" s="92">
        <f t="shared" ca="1" si="25"/>
        <v>147276.51962574944</v>
      </c>
      <c r="T120" s="93">
        <f t="shared" ca="1" si="21"/>
        <v>8.6577914435206939E-3</v>
      </c>
      <c r="U120" s="109"/>
      <c r="V120" s="109"/>
    </row>
    <row r="121" spans="1:23" x14ac:dyDescent="0.2">
      <c r="A121" s="97">
        <f>Purchases!A180</f>
        <v>44136</v>
      </c>
      <c r="B121" s="118">
        <f t="shared" si="20"/>
        <v>2020</v>
      </c>
      <c r="C121" s="118">
        <f t="shared" si="22"/>
        <v>11</v>
      </c>
      <c r="D121" s="186">
        <f>Data!D120</f>
        <v>18253434</v>
      </c>
      <c r="E121" s="186">
        <f>Data!E120</f>
        <v>3115295.0272399997</v>
      </c>
      <c r="F121" s="185">
        <f ca="1">Data!F120</f>
        <v>902772.98173842777</v>
      </c>
      <c r="G121" s="185">
        <f t="shared" ca="1" si="23"/>
        <v>19156206.98173843</v>
      </c>
      <c r="H121" s="196">
        <f>Data!U120</f>
        <v>329.50000000000006</v>
      </c>
      <c r="I121" s="187">
        <f>Data!X120</f>
        <v>3.3999999999999986</v>
      </c>
      <c r="J121" s="225">
        <f t="shared" ca="1" si="32"/>
        <v>400.69</v>
      </c>
      <c r="K121" s="225">
        <f t="shared" ca="1" si="32"/>
        <v>0.43999999999999984</v>
      </c>
      <c r="L121" s="187">
        <f>Data!AG120</f>
        <v>30</v>
      </c>
      <c r="M121" s="187">
        <f>Data!AU120</f>
        <v>0</v>
      </c>
      <c r="N121" s="188">
        <f>Data!M120</f>
        <v>160.72908128413371</v>
      </c>
      <c r="O121" s="187">
        <f>Data!AX120</f>
        <v>119</v>
      </c>
      <c r="P121" s="189">
        <f>Data!K120</f>
        <v>12269.70434951075</v>
      </c>
      <c r="Q121" s="191"/>
      <c r="R121" s="190">
        <f t="shared" ca="1" si="24"/>
        <v>19805216.045840945</v>
      </c>
      <c r="S121" s="92">
        <f t="shared" ca="1" si="25"/>
        <v>649009.06410251558</v>
      </c>
      <c r="T121" s="93">
        <f t="shared" ca="1" si="21"/>
        <v>3.5555450229393305E-2</v>
      </c>
      <c r="U121" s="109"/>
      <c r="V121" s="109"/>
    </row>
    <row r="122" spans="1:23" x14ac:dyDescent="0.2">
      <c r="A122" s="97">
        <f>Purchases!A181</f>
        <v>44166</v>
      </c>
      <c r="B122" s="118">
        <f t="shared" si="20"/>
        <v>2020</v>
      </c>
      <c r="C122" s="118">
        <f t="shared" si="22"/>
        <v>12</v>
      </c>
      <c r="D122" s="186">
        <f>Data!D121</f>
        <v>20812463</v>
      </c>
      <c r="E122" s="186">
        <f>Data!E121</f>
        <v>3241021.68352</v>
      </c>
      <c r="F122" s="185">
        <f ca="1">Data!F121</f>
        <v>901260.08937532001</v>
      </c>
      <c r="G122" s="185">
        <f t="shared" ca="1" si="23"/>
        <v>21713723.089375321</v>
      </c>
      <c r="H122" s="196">
        <f>Data!U121</f>
        <v>547.4</v>
      </c>
      <c r="I122" s="187">
        <f>Data!X121</f>
        <v>0</v>
      </c>
      <c r="J122" s="225">
        <f t="shared" ca="1" si="32"/>
        <v>549.42000000000007</v>
      </c>
      <c r="K122" s="225">
        <f t="shared" ca="1" si="32"/>
        <v>0</v>
      </c>
      <c r="L122" s="187">
        <f>Data!AG121</f>
        <v>31</v>
      </c>
      <c r="M122" s="187">
        <f>Data!AU121</f>
        <v>0</v>
      </c>
      <c r="N122" s="188">
        <f>Data!M121</f>
        <v>160.02403801188103</v>
      </c>
      <c r="O122" s="187">
        <f>Data!AX121</f>
        <v>120</v>
      </c>
      <c r="P122" s="189">
        <f>Data!K121</f>
        <v>12364</v>
      </c>
      <c r="Q122" s="191"/>
      <c r="R122" s="190">
        <f ca="1">G122+(J122-H122)*$V$18+(K122-I122)*$V$19</f>
        <v>21735960.160814952</v>
      </c>
      <c r="S122" s="92">
        <f t="shared" ca="1" si="25"/>
        <v>22237.071439631283</v>
      </c>
      <c r="T122" s="93">
        <f t="shared" ca="1" si="21"/>
        <v>1.0684497764455502E-3</v>
      </c>
      <c r="U122" s="109"/>
      <c r="V122" s="109"/>
    </row>
    <row r="123" spans="1:23" x14ac:dyDescent="0.2">
      <c r="A123" s="97">
        <f>A111+366</f>
        <v>44197</v>
      </c>
      <c r="B123" s="118">
        <f t="shared" si="20"/>
        <v>2021</v>
      </c>
      <c r="C123" s="118">
        <f t="shared" si="22"/>
        <v>1</v>
      </c>
      <c r="D123" s="115"/>
      <c r="E123" s="115">
        <f>Purchases!E182</f>
        <v>0</v>
      </c>
      <c r="F123" s="199">
        <f ca="1">CDM!D138</f>
        <v>907929.04130623909</v>
      </c>
      <c r="G123" s="185"/>
      <c r="H123" s="197">
        <f ca="1">Weather!AL61</f>
        <v>671.55</v>
      </c>
      <c r="I123" s="197">
        <f ca="1">Weather!BA61</f>
        <v>0</v>
      </c>
      <c r="J123" s="225">
        <f ca="1">J111</f>
        <v>671.55</v>
      </c>
      <c r="K123" s="225">
        <f t="shared" ca="1" si="32"/>
        <v>0</v>
      </c>
      <c r="L123" s="96">
        <f>L75</f>
        <v>31</v>
      </c>
      <c r="M123" s="187">
        <f>M111</f>
        <v>0</v>
      </c>
      <c r="N123" s="188">
        <f>Economic!E122</f>
        <v>167.88630449779569</v>
      </c>
      <c r="O123" s="187">
        <f>O122+1</f>
        <v>121</v>
      </c>
      <c r="P123" s="189">
        <f>'Rate Class Customer Model'!W122</f>
        <v>12372.791304500977</v>
      </c>
      <c r="Q123" s="191"/>
      <c r="R123" s="190">
        <f ca="1">$V$17+H123*$V$18+I123*$V$19+L123*$V$20+M123*$V$21+$V$22*N123</f>
        <v>23434890.353204276</v>
      </c>
      <c r="S123" s="69"/>
      <c r="T123" s="5">
        <f ca="1">AVERAGE(T3:T110)</f>
        <v>3.6608449048350936E-2</v>
      </c>
      <c r="U123"/>
    </row>
    <row r="124" spans="1:23" x14ac:dyDescent="0.2">
      <c r="A124" s="97">
        <f t="shared" ref="A124:A146" si="33">A112+366</f>
        <v>44228</v>
      </c>
      <c r="B124" s="118">
        <f t="shared" si="20"/>
        <v>2021</v>
      </c>
      <c r="C124" s="118">
        <f t="shared" si="22"/>
        <v>2</v>
      </c>
      <c r="D124" s="99"/>
      <c r="E124" s="115">
        <f>Purchases!E183</f>
        <v>0</v>
      </c>
      <c r="F124" s="199">
        <f ca="1">CDM!D139</f>
        <v>906277.08524006547</v>
      </c>
      <c r="G124" s="185"/>
      <c r="H124" s="197">
        <f ca="1">Weather!AL62</f>
        <v>591.43000000000006</v>
      </c>
      <c r="I124" s="197">
        <f ca="1">Weather!BA62</f>
        <v>0</v>
      </c>
      <c r="J124" s="225">
        <f t="shared" ca="1" si="32"/>
        <v>591.43000000000006</v>
      </c>
      <c r="K124" s="225">
        <f t="shared" ca="1" si="32"/>
        <v>0</v>
      </c>
      <c r="L124" s="96">
        <f t="shared" ref="L124:L146" si="34">L76</f>
        <v>28</v>
      </c>
      <c r="M124" s="187">
        <f t="shared" ref="M124:M146" si="35">M112</f>
        <v>0</v>
      </c>
      <c r="N124" s="188">
        <f>Economic!E123</f>
        <v>168.50997182540399</v>
      </c>
      <c r="O124" s="187">
        <f t="shared" ref="O124:O146" si="36">O123+1</f>
        <v>122</v>
      </c>
      <c r="P124" s="189">
        <f>'Rate Class Customer Model'!W123</f>
        <v>12381.582609001955</v>
      </c>
      <c r="Q124" s="191"/>
      <c r="R124" s="190">
        <f ca="1">$V$17+H124*$V$18+I124*$V$19+L124*$V$20+M124*$V$21+$V$22*N124</f>
        <v>21123678.237796377</v>
      </c>
      <c r="S124" s="69"/>
      <c r="T124" s="69"/>
      <c r="U124"/>
      <c r="V124" s="46"/>
      <c r="W124" s="46"/>
    </row>
    <row r="125" spans="1:23" x14ac:dyDescent="0.2">
      <c r="A125" s="97">
        <f t="shared" si="33"/>
        <v>44257</v>
      </c>
      <c r="B125" s="118">
        <f t="shared" si="20"/>
        <v>2021</v>
      </c>
      <c r="C125" s="118">
        <f t="shared" si="22"/>
        <v>3</v>
      </c>
      <c r="D125" s="99"/>
      <c r="E125" s="115">
        <f>Purchases!E184</f>
        <v>0</v>
      </c>
      <c r="F125" s="199">
        <f ca="1">CDM!D140</f>
        <v>904625.12917389174</v>
      </c>
      <c r="G125" s="185"/>
      <c r="H125" s="197">
        <f ca="1">Weather!AL63</f>
        <v>493.21999999999997</v>
      </c>
      <c r="I125" s="197">
        <f ca="1">Weather!BA63</f>
        <v>1.5699999999999998</v>
      </c>
      <c r="J125" s="225">
        <f t="shared" ca="1" si="32"/>
        <v>493.21999999999997</v>
      </c>
      <c r="K125" s="225">
        <f t="shared" ca="1" si="32"/>
        <v>1.5699999999999998</v>
      </c>
      <c r="L125" s="96">
        <f t="shared" si="34"/>
        <v>31</v>
      </c>
      <c r="M125" s="187">
        <f t="shared" si="35"/>
        <v>1</v>
      </c>
      <c r="N125" s="188">
        <f>Economic!E124</f>
        <v>169.13595596459911</v>
      </c>
      <c r="O125" s="187">
        <f t="shared" si="36"/>
        <v>123</v>
      </c>
      <c r="P125" s="189">
        <f>'Rate Class Customer Model'!W124</f>
        <v>12390.373913502932</v>
      </c>
      <c r="Q125" s="191"/>
      <c r="R125" s="190">
        <f t="shared" ref="R125:R146" ca="1" si="37">$V$17+H125*$V$18+I125*$V$19+L125*$V$20+M125*$V$21+$V$22*N125</f>
        <v>20960484.504165076</v>
      </c>
      <c r="S125" s="69"/>
      <c r="T125" s="69"/>
      <c r="U125"/>
    </row>
    <row r="126" spans="1:23" x14ac:dyDescent="0.2">
      <c r="A126" s="97">
        <f t="shared" si="33"/>
        <v>44288</v>
      </c>
      <c r="B126" s="118">
        <f t="shared" si="20"/>
        <v>2021</v>
      </c>
      <c r="C126" s="118">
        <f t="shared" si="22"/>
        <v>4</v>
      </c>
      <c r="D126" s="99"/>
      <c r="E126" s="115">
        <f>Purchases!E185</f>
        <v>0</v>
      </c>
      <c r="F126" s="199">
        <f ca="1">CDM!D141</f>
        <v>902973.17310771812</v>
      </c>
      <c r="G126" s="185"/>
      <c r="H126" s="197">
        <f ca="1">Weather!AL64</f>
        <v>298.61</v>
      </c>
      <c r="I126" s="197">
        <f ca="1">Weather!BA64</f>
        <v>1.4</v>
      </c>
      <c r="J126" s="225">
        <f t="shared" ca="1" si="32"/>
        <v>298.61</v>
      </c>
      <c r="K126" s="225">
        <f t="shared" ca="1" si="32"/>
        <v>1.4</v>
      </c>
      <c r="L126" s="96">
        <f t="shared" si="34"/>
        <v>30</v>
      </c>
      <c r="M126" s="187">
        <f t="shared" si="35"/>
        <v>1</v>
      </c>
      <c r="N126" s="188">
        <f>Economic!E125</f>
        <v>169.76426552191802</v>
      </c>
      <c r="O126" s="187">
        <f t="shared" si="36"/>
        <v>124</v>
      </c>
      <c r="P126" s="189">
        <f>'Rate Class Customer Model'!W125</f>
        <v>12399.165218003909</v>
      </c>
      <c r="Q126" s="191"/>
      <c r="R126" s="190">
        <f t="shared" ca="1" si="37"/>
        <v>18344703.062399905</v>
      </c>
      <c r="S126" s="69"/>
      <c r="T126" s="69"/>
      <c r="U126"/>
    </row>
    <row r="127" spans="1:23" x14ac:dyDescent="0.2">
      <c r="A127" s="97">
        <f t="shared" si="33"/>
        <v>44318</v>
      </c>
      <c r="B127" s="118">
        <f t="shared" si="20"/>
        <v>2021</v>
      </c>
      <c r="C127" s="118">
        <f t="shared" si="22"/>
        <v>5</v>
      </c>
      <c r="D127" s="99"/>
      <c r="E127" s="115">
        <f>Purchases!E186</f>
        <v>0</v>
      </c>
      <c r="F127" s="199">
        <f ca="1">CDM!D142</f>
        <v>901321.2170415445</v>
      </c>
      <c r="G127" s="185"/>
      <c r="H127" s="197">
        <f ca="1">Weather!AL65</f>
        <v>105.4</v>
      </c>
      <c r="I127" s="197">
        <f ca="1">Weather!BA65</f>
        <v>59.319999999999993</v>
      </c>
      <c r="J127" s="225">
        <f t="shared" ca="1" si="32"/>
        <v>105.4</v>
      </c>
      <c r="K127" s="225">
        <f t="shared" ca="1" si="32"/>
        <v>59.319999999999993</v>
      </c>
      <c r="L127" s="96">
        <f t="shared" si="34"/>
        <v>31</v>
      </c>
      <c r="M127" s="187">
        <f t="shared" si="35"/>
        <v>1</v>
      </c>
      <c r="N127" s="188">
        <f>Economic!E126</f>
        <v>170.39490913586945</v>
      </c>
      <c r="O127" s="187">
        <f t="shared" si="36"/>
        <v>125</v>
      </c>
      <c r="P127" s="189">
        <f>'Rate Class Customer Model'!W126</f>
        <v>12407.956522504886</v>
      </c>
      <c r="Q127" s="191"/>
      <c r="R127" s="190">
        <f t="shared" ca="1" si="37"/>
        <v>19350943.615573756</v>
      </c>
      <c r="S127" s="69"/>
      <c r="T127" s="69"/>
      <c r="U127"/>
    </row>
    <row r="128" spans="1:23" x14ac:dyDescent="0.2">
      <c r="A128" s="97">
        <f t="shared" si="33"/>
        <v>44349</v>
      </c>
      <c r="B128" s="118">
        <f t="shared" si="20"/>
        <v>2021</v>
      </c>
      <c r="C128" s="118">
        <f t="shared" si="22"/>
        <v>6</v>
      </c>
      <c r="D128" s="99"/>
      <c r="E128" s="115">
        <f>Purchases!E187</f>
        <v>0</v>
      </c>
      <c r="F128" s="199">
        <f ca="1">CDM!D143</f>
        <v>899669.26097537088</v>
      </c>
      <c r="G128" s="185"/>
      <c r="H128" s="197">
        <f ca="1">Weather!AL66</f>
        <v>12.239999999999998</v>
      </c>
      <c r="I128" s="197">
        <f ca="1">Weather!BA66</f>
        <v>147.38999999999999</v>
      </c>
      <c r="J128" s="225">
        <f t="shared" ca="1" si="32"/>
        <v>12.239999999999998</v>
      </c>
      <c r="K128" s="225">
        <f t="shared" ca="1" si="32"/>
        <v>147.38999999999999</v>
      </c>
      <c r="L128" s="96">
        <f t="shared" si="34"/>
        <v>30</v>
      </c>
      <c r="M128" s="187">
        <f t="shared" si="35"/>
        <v>0</v>
      </c>
      <c r="N128" s="188">
        <f>Economic!E127</f>
        <v>171.02789547705265</v>
      </c>
      <c r="O128" s="187">
        <f t="shared" si="36"/>
        <v>126</v>
      </c>
      <c r="P128" s="189">
        <f>'Rate Class Customer Model'!W127</f>
        <v>12416.747827005864</v>
      </c>
      <c r="Q128" s="191"/>
      <c r="R128" s="190">
        <f t="shared" ca="1" si="37"/>
        <v>22481635.013656579</v>
      </c>
      <c r="S128" s="69"/>
      <c r="T128" s="69"/>
      <c r="U128"/>
    </row>
    <row r="129" spans="1:21" x14ac:dyDescent="0.2">
      <c r="A129" s="97">
        <f t="shared" si="33"/>
        <v>44379</v>
      </c>
      <c r="B129" s="118">
        <f t="shared" si="20"/>
        <v>2021</v>
      </c>
      <c r="C129" s="118">
        <f t="shared" si="22"/>
        <v>7</v>
      </c>
      <c r="D129" s="99"/>
      <c r="E129" s="115">
        <f>Purchases!E188</f>
        <v>0</v>
      </c>
      <c r="F129" s="199">
        <f ca="1">CDM!D144</f>
        <v>898017.30490919715</v>
      </c>
      <c r="G129" s="185"/>
      <c r="H129" s="197">
        <f ca="1">Weather!AL67</f>
        <v>1.0100000000000002</v>
      </c>
      <c r="I129" s="197">
        <f ca="1">Weather!BA67</f>
        <v>229.98999999999995</v>
      </c>
      <c r="J129" s="225">
        <f t="shared" ca="1" si="32"/>
        <v>1.0100000000000002</v>
      </c>
      <c r="K129" s="225">
        <f t="shared" ca="1" si="32"/>
        <v>229.98999999999995</v>
      </c>
      <c r="L129" s="96">
        <f t="shared" si="34"/>
        <v>31</v>
      </c>
      <c r="M129" s="187">
        <f t="shared" si="35"/>
        <v>0</v>
      </c>
      <c r="N129" s="188">
        <f>Economic!E128</f>
        <v>171.66323324827655</v>
      </c>
      <c r="O129" s="187">
        <f t="shared" si="36"/>
        <v>127</v>
      </c>
      <c r="P129" s="189">
        <f>'Rate Class Customer Model'!W128</f>
        <v>12425.539131506841</v>
      </c>
      <c r="Q129" s="191"/>
      <c r="R129" s="190">
        <f t="shared" ca="1" si="37"/>
        <v>26614274.626594279</v>
      </c>
      <c r="S129" s="69"/>
      <c r="T129" s="69"/>
      <c r="U129"/>
    </row>
    <row r="130" spans="1:21" x14ac:dyDescent="0.2">
      <c r="A130" s="97">
        <f t="shared" si="33"/>
        <v>44410</v>
      </c>
      <c r="B130" s="118">
        <f t="shared" si="20"/>
        <v>2021</v>
      </c>
      <c r="C130" s="118">
        <f t="shared" si="22"/>
        <v>8</v>
      </c>
      <c r="D130" s="99"/>
      <c r="E130" s="115">
        <f>Purchases!E189</f>
        <v>0</v>
      </c>
      <c r="F130" s="199">
        <f ca="1">CDM!D145</f>
        <v>896365.34884302353</v>
      </c>
      <c r="G130" s="185"/>
      <c r="H130" s="197">
        <f ca="1">Weather!AL68</f>
        <v>2.3899999999999997</v>
      </c>
      <c r="I130" s="197">
        <f ca="1">Weather!BA68</f>
        <v>185.42</v>
      </c>
      <c r="J130" s="225">
        <f t="shared" ca="1" si="32"/>
        <v>2.3899999999999997</v>
      </c>
      <c r="K130" s="225">
        <f t="shared" ca="1" si="32"/>
        <v>185.42</v>
      </c>
      <c r="L130" s="96">
        <f t="shared" si="34"/>
        <v>31</v>
      </c>
      <c r="M130" s="187">
        <f t="shared" si="35"/>
        <v>0</v>
      </c>
      <c r="N130" s="188">
        <f>Economic!E129</f>
        <v>172.30093118467946</v>
      </c>
      <c r="O130" s="187">
        <f t="shared" si="36"/>
        <v>128</v>
      </c>
      <c r="P130" s="189">
        <f>'Rate Class Customer Model'!W129</f>
        <v>12434.330436007818</v>
      </c>
      <c r="Q130" s="191"/>
      <c r="R130" s="190">
        <f t="shared" ca="1" si="37"/>
        <v>24617742.668729961</v>
      </c>
      <c r="S130" s="69"/>
      <c r="T130" s="69"/>
      <c r="U130"/>
    </row>
    <row r="131" spans="1:21" x14ac:dyDescent="0.2">
      <c r="A131" s="97">
        <f t="shared" si="33"/>
        <v>44441</v>
      </c>
      <c r="B131" s="118">
        <f t="shared" ref="B131:B146" si="38">YEAR(A131)</f>
        <v>2021</v>
      </c>
      <c r="C131" s="118">
        <f t="shared" si="22"/>
        <v>9</v>
      </c>
      <c r="D131" s="99"/>
      <c r="E131" s="115">
        <f>Purchases!E190</f>
        <v>0</v>
      </c>
      <c r="F131" s="199">
        <f ca="1">CDM!D146</f>
        <v>894713.39277684991</v>
      </c>
      <c r="G131" s="185"/>
      <c r="H131" s="197">
        <f ca="1">Weather!AL69</f>
        <v>45.749999999999993</v>
      </c>
      <c r="I131" s="197">
        <f ca="1">Weather!BA69</f>
        <v>88.07</v>
      </c>
      <c r="J131" s="225">
        <f t="shared" ca="1" si="32"/>
        <v>45.749999999999993</v>
      </c>
      <c r="K131" s="225">
        <f t="shared" ca="1" si="32"/>
        <v>88.07</v>
      </c>
      <c r="L131" s="96">
        <f t="shared" si="34"/>
        <v>30</v>
      </c>
      <c r="M131" s="187">
        <f t="shared" si="35"/>
        <v>0</v>
      </c>
      <c r="N131" s="188">
        <f>Economic!E130</f>
        <v>172.94099805384914</v>
      </c>
      <c r="O131" s="187">
        <f t="shared" si="36"/>
        <v>129</v>
      </c>
      <c r="P131" s="189">
        <f>'Rate Class Customer Model'!W130</f>
        <v>12443.121740508795</v>
      </c>
      <c r="Q131" s="191"/>
      <c r="R131" s="190">
        <f t="shared" ca="1" si="37"/>
        <v>20200167.349449724</v>
      </c>
      <c r="S131" s="69"/>
      <c r="T131" s="69"/>
      <c r="U131"/>
    </row>
    <row r="132" spans="1:21" x14ac:dyDescent="0.2">
      <c r="A132" s="97">
        <f t="shared" si="33"/>
        <v>44471</v>
      </c>
      <c r="B132" s="118">
        <f t="shared" si="38"/>
        <v>2021</v>
      </c>
      <c r="C132" s="118">
        <f t="shared" ref="C132:C146" si="39">MONTH(A132)</f>
        <v>10</v>
      </c>
      <c r="D132" s="99"/>
      <c r="E132" s="115">
        <f>Purchases!E191</f>
        <v>0</v>
      </c>
      <c r="F132" s="199">
        <f ca="1">CDM!D147</f>
        <v>893061.43671067629</v>
      </c>
      <c r="G132" s="185"/>
      <c r="H132" s="197">
        <f ca="1">Weather!AL70</f>
        <v>200.71</v>
      </c>
      <c r="I132" s="197">
        <f ca="1">Weather!BA70</f>
        <v>17.57</v>
      </c>
      <c r="J132" s="225">
        <f t="shared" ca="1" si="32"/>
        <v>200.71</v>
      </c>
      <c r="K132" s="225">
        <f t="shared" ca="1" si="32"/>
        <v>17.57</v>
      </c>
      <c r="L132" s="96">
        <f t="shared" si="34"/>
        <v>31</v>
      </c>
      <c r="M132" s="187">
        <f t="shared" si="35"/>
        <v>0</v>
      </c>
      <c r="N132" s="188">
        <f>Economic!E131</f>
        <v>173.58344265594337</v>
      </c>
      <c r="O132" s="187">
        <f t="shared" si="36"/>
        <v>130</v>
      </c>
      <c r="P132" s="189">
        <f>'Rate Class Customer Model'!W131</f>
        <v>12451.913045009773</v>
      </c>
      <c r="Q132" s="191"/>
      <c r="R132" s="190">
        <f t="shared" ca="1" si="37"/>
        <v>19196299.259416983</v>
      </c>
      <c r="S132" s="69"/>
      <c r="T132" s="69"/>
      <c r="U132"/>
    </row>
    <row r="133" spans="1:21" x14ac:dyDescent="0.2">
      <c r="A133" s="97">
        <f t="shared" si="33"/>
        <v>44502</v>
      </c>
      <c r="B133" s="118">
        <f t="shared" si="38"/>
        <v>2021</v>
      </c>
      <c r="C133" s="118">
        <f t="shared" si="39"/>
        <v>11</v>
      </c>
      <c r="D133" s="99"/>
      <c r="E133" s="115">
        <f>Purchases!E192</f>
        <v>0</v>
      </c>
      <c r="F133" s="199">
        <f ca="1">CDM!D148</f>
        <v>891409.48064450256</v>
      </c>
      <c r="G133" s="185"/>
      <c r="H133" s="197">
        <f ca="1">Weather!AL71</f>
        <v>400.69</v>
      </c>
      <c r="I133" s="197">
        <f ca="1">Weather!BA71</f>
        <v>0.43999999999999984</v>
      </c>
      <c r="J133" s="225">
        <f t="shared" ca="1" si="32"/>
        <v>400.69</v>
      </c>
      <c r="K133" s="225">
        <f t="shared" ca="1" si="32"/>
        <v>0.43999999999999984</v>
      </c>
      <c r="L133" s="96">
        <f t="shared" si="34"/>
        <v>30</v>
      </c>
      <c r="M133" s="187">
        <f t="shared" si="35"/>
        <v>0</v>
      </c>
      <c r="N133" s="188">
        <f>Economic!E132</f>
        <v>174.22827382381092</v>
      </c>
      <c r="O133" s="187">
        <f t="shared" si="36"/>
        <v>131</v>
      </c>
      <c r="P133" s="189">
        <f>'Rate Class Customer Model'!W132</f>
        <v>12460.70434951075</v>
      </c>
      <c r="Q133" s="191"/>
      <c r="R133" s="190">
        <f t="shared" ca="1" si="37"/>
        <v>20153068.825291753</v>
      </c>
      <c r="S133" s="69"/>
      <c r="T133" s="69"/>
      <c r="U133"/>
    </row>
    <row r="134" spans="1:21" x14ac:dyDescent="0.2">
      <c r="A134" s="97">
        <f t="shared" si="33"/>
        <v>44532</v>
      </c>
      <c r="B134" s="118">
        <f t="shared" si="38"/>
        <v>2021</v>
      </c>
      <c r="C134" s="118">
        <f t="shared" si="39"/>
        <v>12</v>
      </c>
      <c r="D134" s="99"/>
      <c r="E134" s="115">
        <f>Purchases!E193</f>
        <v>0</v>
      </c>
      <c r="F134" s="199">
        <f ca="1">CDM!D149</f>
        <v>889757.52457832894</v>
      </c>
      <c r="G134" s="185"/>
      <c r="H134" s="197">
        <f ca="1">Weather!AL72</f>
        <v>549.42000000000007</v>
      </c>
      <c r="I134" s="197">
        <f ca="1">Weather!BA72</f>
        <v>0</v>
      </c>
      <c r="J134" s="225">
        <f t="shared" ca="1" si="32"/>
        <v>549.42000000000007</v>
      </c>
      <c r="K134" s="225">
        <f t="shared" ca="1" si="32"/>
        <v>0</v>
      </c>
      <c r="L134" s="96">
        <f t="shared" si="34"/>
        <v>31</v>
      </c>
      <c r="M134" s="187">
        <f t="shared" si="35"/>
        <v>0</v>
      </c>
      <c r="N134" s="188">
        <f>Economic!E133</f>
        <v>174.87550042311301</v>
      </c>
      <c r="O134" s="187">
        <f t="shared" si="36"/>
        <v>132</v>
      </c>
      <c r="P134" s="189">
        <f>'Rate Class Customer Model'!W133</f>
        <v>12469.495654011718</v>
      </c>
      <c r="Q134" s="191"/>
      <c r="R134" s="190">
        <f t="shared" ca="1" si="37"/>
        <v>22268530.945567705</v>
      </c>
      <c r="S134" s="69"/>
      <c r="T134" s="69"/>
      <c r="U134"/>
    </row>
    <row r="135" spans="1:21" x14ac:dyDescent="0.2">
      <c r="A135" s="97">
        <f t="shared" si="33"/>
        <v>44563</v>
      </c>
      <c r="B135" s="118">
        <f t="shared" si="38"/>
        <v>2022</v>
      </c>
      <c r="C135" s="118">
        <f t="shared" si="39"/>
        <v>1</v>
      </c>
      <c r="D135" s="99"/>
      <c r="E135" s="115">
        <f>Purchases!E194</f>
        <v>0</v>
      </c>
      <c r="F135" s="199">
        <f ca="1">CDM!D150</f>
        <v>896633.71830546774</v>
      </c>
      <c r="G135" s="185"/>
      <c r="H135" s="197">
        <f ca="1">H123</f>
        <v>671.55</v>
      </c>
      <c r="I135" s="197">
        <f ca="1">I123</f>
        <v>0</v>
      </c>
      <c r="J135" s="225">
        <f t="shared" ref="J135:K135" ca="1" si="40">J123</f>
        <v>671.55</v>
      </c>
      <c r="K135" s="225">
        <f t="shared" ca="1" si="40"/>
        <v>0</v>
      </c>
      <c r="L135" s="96">
        <f t="shared" si="34"/>
        <v>31</v>
      </c>
      <c r="M135" s="187">
        <f t="shared" si="35"/>
        <v>0</v>
      </c>
      <c r="N135" s="188">
        <f>Economic!E134</f>
        <v>175.57028482723447</v>
      </c>
      <c r="O135" s="187">
        <f t="shared" si="36"/>
        <v>133</v>
      </c>
      <c r="P135" s="189">
        <f>'Rate Class Customer Model'!W134</f>
        <v>12478.365051350635</v>
      </c>
      <c r="Q135" s="191"/>
      <c r="R135" s="190">
        <f t="shared" ca="1" si="37"/>
        <v>23630697.990139119</v>
      </c>
      <c r="S135" s="69"/>
      <c r="T135" s="69"/>
      <c r="U135"/>
    </row>
    <row r="136" spans="1:21" x14ac:dyDescent="0.2">
      <c r="A136" s="97">
        <f t="shared" si="33"/>
        <v>44594</v>
      </c>
      <c r="B136" s="118">
        <f t="shared" si="38"/>
        <v>2022</v>
      </c>
      <c r="C136" s="118">
        <f t="shared" si="39"/>
        <v>2</v>
      </c>
      <c r="D136" s="99"/>
      <c r="E136" s="115">
        <f>Purchases!E195</f>
        <v>0</v>
      </c>
      <c r="F136" s="199">
        <f ca="1">CDM!D151</f>
        <v>894424.15366865147</v>
      </c>
      <c r="G136" s="185"/>
      <c r="H136" s="197">
        <f t="shared" ref="H136:K146" ca="1" si="41">H124</f>
        <v>591.43000000000006</v>
      </c>
      <c r="I136" s="197">
        <f t="shared" ca="1" si="41"/>
        <v>0</v>
      </c>
      <c r="J136" s="225">
        <f t="shared" ca="1" si="41"/>
        <v>591.43000000000006</v>
      </c>
      <c r="K136" s="225">
        <f t="shared" ca="1" si="41"/>
        <v>0</v>
      </c>
      <c r="L136" s="96">
        <f t="shared" si="34"/>
        <v>28</v>
      </c>
      <c r="M136" s="187">
        <f t="shared" si="35"/>
        <v>0</v>
      </c>
      <c r="N136" s="188">
        <f>Economic!E135</f>
        <v>176.22951827135108</v>
      </c>
      <c r="O136" s="187">
        <f t="shared" si="36"/>
        <v>134</v>
      </c>
      <c r="P136" s="189">
        <f>'Rate Class Customer Model'!W135</f>
        <v>12487.234448689551</v>
      </c>
      <c r="Q136" s="191"/>
      <c r="R136" s="190">
        <f t="shared" ca="1" si="37"/>
        <v>21320392.191110212</v>
      </c>
      <c r="S136" s="69"/>
      <c r="T136" s="69"/>
      <c r="U136"/>
    </row>
    <row r="137" spans="1:21" x14ac:dyDescent="0.2">
      <c r="A137" s="97">
        <f t="shared" si="33"/>
        <v>44623</v>
      </c>
      <c r="B137" s="118">
        <f t="shared" si="38"/>
        <v>2022</v>
      </c>
      <c r="C137" s="118">
        <f t="shared" si="39"/>
        <v>3</v>
      </c>
      <c r="D137" s="99"/>
      <c r="E137" s="115">
        <f>Purchases!E196</f>
        <v>0</v>
      </c>
      <c r="F137" s="199">
        <f ca="1">CDM!D152</f>
        <v>892214.58903183509</v>
      </c>
      <c r="G137" s="185"/>
      <c r="H137" s="197">
        <f t="shared" ca="1" si="41"/>
        <v>493.21999999999997</v>
      </c>
      <c r="I137" s="197">
        <f t="shared" ca="1" si="41"/>
        <v>1.5699999999999998</v>
      </c>
      <c r="J137" s="225">
        <f t="shared" ca="1" si="41"/>
        <v>493.21999999999997</v>
      </c>
      <c r="K137" s="225">
        <f t="shared" ca="1" si="41"/>
        <v>1.5699999999999998</v>
      </c>
      <c r="L137" s="96">
        <f t="shared" si="34"/>
        <v>31</v>
      </c>
      <c r="M137" s="187">
        <f t="shared" si="35"/>
        <v>1</v>
      </c>
      <c r="N137" s="188">
        <f>Economic!E136</f>
        <v>176.89122701323387</v>
      </c>
      <c r="O137" s="187">
        <f t="shared" si="36"/>
        <v>135</v>
      </c>
      <c r="P137" s="189">
        <f>'Rate Class Customer Model'!W136</f>
        <v>12496.103846028467</v>
      </c>
      <c r="Q137" s="191"/>
      <c r="R137" s="190">
        <f t="shared" ca="1" si="37"/>
        <v>21158108.812494516</v>
      </c>
      <c r="S137" s="69"/>
      <c r="T137" s="69"/>
      <c r="U137"/>
    </row>
    <row r="138" spans="1:21" x14ac:dyDescent="0.2">
      <c r="A138" s="97">
        <f t="shared" si="33"/>
        <v>44654</v>
      </c>
      <c r="B138" s="118">
        <f t="shared" si="38"/>
        <v>2022</v>
      </c>
      <c r="C138" s="118">
        <f t="shared" si="39"/>
        <v>4</v>
      </c>
      <c r="D138" s="99"/>
      <c r="E138" s="115">
        <f>Purchases!E197</f>
        <v>0</v>
      </c>
      <c r="F138" s="199">
        <f ca="1">CDM!D153</f>
        <v>890005.02439501882</v>
      </c>
      <c r="G138" s="185"/>
      <c r="H138" s="197">
        <f t="shared" ca="1" si="41"/>
        <v>298.61</v>
      </c>
      <c r="I138" s="197">
        <f t="shared" ca="1" si="41"/>
        <v>1.4</v>
      </c>
      <c r="J138" s="225">
        <f t="shared" ca="1" si="41"/>
        <v>298.61</v>
      </c>
      <c r="K138" s="225">
        <f t="shared" ca="1" si="41"/>
        <v>1.4</v>
      </c>
      <c r="L138" s="96">
        <f t="shared" si="34"/>
        <v>30</v>
      </c>
      <c r="M138" s="187">
        <f t="shared" si="35"/>
        <v>1</v>
      </c>
      <c r="N138" s="188">
        <f>Economic!E137</f>
        <v>177.55542034716106</v>
      </c>
      <c r="O138" s="187">
        <f t="shared" si="36"/>
        <v>136</v>
      </c>
      <c r="P138" s="189">
        <f>'Rate Class Customer Model'!W137</f>
        <v>12504.973243367383</v>
      </c>
      <c r="Q138" s="191"/>
      <c r="R138" s="190">
        <f t="shared" ca="1" si="37"/>
        <v>18543241.781906977</v>
      </c>
      <c r="S138" s="69"/>
      <c r="T138" s="69"/>
      <c r="U138"/>
    </row>
    <row r="139" spans="1:21" x14ac:dyDescent="0.2">
      <c r="A139" s="97">
        <f t="shared" si="33"/>
        <v>44684</v>
      </c>
      <c r="B139" s="118">
        <f t="shared" si="38"/>
        <v>2022</v>
      </c>
      <c r="C139" s="118">
        <f t="shared" si="39"/>
        <v>5</v>
      </c>
      <c r="D139" s="99"/>
      <c r="E139" s="115">
        <f>Purchases!E198</f>
        <v>0</v>
      </c>
      <c r="F139" s="199">
        <f ca="1">CDM!D154</f>
        <v>887795.45975820255</v>
      </c>
      <c r="G139" s="185"/>
      <c r="H139" s="197">
        <f t="shared" ca="1" si="41"/>
        <v>105.4</v>
      </c>
      <c r="I139" s="197">
        <f t="shared" ca="1" si="41"/>
        <v>59.319999999999993</v>
      </c>
      <c r="J139" s="225">
        <f t="shared" ca="1" si="41"/>
        <v>105.4</v>
      </c>
      <c r="K139" s="225">
        <f t="shared" ca="1" si="41"/>
        <v>59.319999999999993</v>
      </c>
      <c r="L139" s="96">
        <f t="shared" si="34"/>
        <v>31</v>
      </c>
      <c r="M139" s="187">
        <f t="shared" si="35"/>
        <v>1</v>
      </c>
      <c r="N139" s="188">
        <f>Economic!E138</f>
        <v>178.22210760230911</v>
      </c>
      <c r="O139" s="187">
        <f t="shared" si="36"/>
        <v>137</v>
      </c>
      <c r="P139" s="189">
        <f>'Rate Class Customer Model'!W138</f>
        <v>12513.8426407063</v>
      </c>
      <c r="Q139" s="191"/>
      <c r="R139" s="190">
        <f t="shared" ca="1" si="37"/>
        <v>19550400.820020489</v>
      </c>
      <c r="S139" s="69"/>
      <c r="T139" s="69"/>
      <c r="U139"/>
    </row>
    <row r="140" spans="1:21" x14ac:dyDescent="0.2">
      <c r="A140" s="97">
        <f t="shared" si="33"/>
        <v>44715</v>
      </c>
      <c r="B140" s="118">
        <f t="shared" si="38"/>
        <v>2022</v>
      </c>
      <c r="C140" s="118">
        <f t="shared" si="39"/>
        <v>6</v>
      </c>
      <c r="D140" s="99"/>
      <c r="E140" s="115">
        <f>Purchases!E199</f>
        <v>0</v>
      </c>
      <c r="F140" s="199">
        <f ca="1">CDM!D155</f>
        <v>885585.89512138627</v>
      </c>
      <c r="G140" s="185"/>
      <c r="H140" s="197">
        <f t="shared" ca="1" si="41"/>
        <v>12.239999999999998</v>
      </c>
      <c r="I140" s="197">
        <f t="shared" ca="1" si="41"/>
        <v>147.38999999999999</v>
      </c>
      <c r="J140" s="225">
        <f t="shared" ca="1" si="41"/>
        <v>12.239999999999998</v>
      </c>
      <c r="K140" s="225">
        <f t="shared" ca="1" si="41"/>
        <v>147.38999999999999</v>
      </c>
      <c r="L140" s="96">
        <f t="shared" si="34"/>
        <v>30</v>
      </c>
      <c r="M140" s="187">
        <f t="shared" si="35"/>
        <v>0</v>
      </c>
      <c r="N140" s="188">
        <f>Economic!E139</f>
        <v>178.89129814288381</v>
      </c>
      <c r="O140" s="187">
        <f t="shared" si="36"/>
        <v>138</v>
      </c>
      <c r="P140" s="189">
        <f>'Rate Class Customer Model'!W139</f>
        <v>12522.712038045216</v>
      </c>
      <c r="Q140" s="191"/>
      <c r="R140" s="190">
        <f t="shared" ca="1" si="37"/>
        <v>22682014.794479884</v>
      </c>
      <c r="S140" s="69"/>
      <c r="T140" s="69"/>
      <c r="U140"/>
    </row>
    <row r="141" spans="1:21" x14ac:dyDescent="0.2">
      <c r="A141" s="97">
        <f t="shared" si="33"/>
        <v>44745</v>
      </c>
      <c r="B141" s="118">
        <f t="shared" si="38"/>
        <v>2022</v>
      </c>
      <c r="C141" s="118">
        <f t="shared" si="39"/>
        <v>7</v>
      </c>
      <c r="D141" s="99"/>
      <c r="E141" s="115">
        <f>Purchases!E200</f>
        <v>0</v>
      </c>
      <c r="F141" s="199">
        <f ca="1">CDM!D156</f>
        <v>883376.33048457</v>
      </c>
      <c r="G141" s="185"/>
      <c r="H141" s="197">
        <f t="shared" ca="1" si="41"/>
        <v>1.0100000000000002</v>
      </c>
      <c r="I141" s="197">
        <f t="shared" ca="1" si="41"/>
        <v>229.98999999999995</v>
      </c>
      <c r="J141" s="225">
        <f t="shared" ca="1" si="41"/>
        <v>1.0100000000000002</v>
      </c>
      <c r="K141" s="225">
        <f t="shared" ca="1" si="41"/>
        <v>229.98999999999995</v>
      </c>
      <c r="L141" s="96">
        <f t="shared" si="34"/>
        <v>31</v>
      </c>
      <c r="M141" s="187">
        <f t="shared" si="35"/>
        <v>0</v>
      </c>
      <c r="N141" s="188">
        <f>Economic!E140</f>
        <v>179.56300136825175</v>
      </c>
      <c r="O141" s="187">
        <f t="shared" si="36"/>
        <v>139</v>
      </c>
      <c r="P141" s="189">
        <f>'Rate Class Customer Model'!W140</f>
        <v>12531.581435384132</v>
      </c>
      <c r="Q141" s="191"/>
      <c r="R141" s="190">
        <f t="shared" ca="1" si="37"/>
        <v>26815581.092981149</v>
      </c>
      <c r="S141" s="69"/>
      <c r="T141" s="69"/>
      <c r="U141"/>
    </row>
    <row r="142" spans="1:21" x14ac:dyDescent="0.2">
      <c r="A142" s="97">
        <f t="shared" si="33"/>
        <v>44776</v>
      </c>
      <c r="B142" s="118">
        <f t="shared" si="38"/>
        <v>2022</v>
      </c>
      <c r="C142" s="118">
        <f t="shared" si="39"/>
        <v>8</v>
      </c>
      <c r="D142" s="99"/>
      <c r="E142" s="115">
        <f>Purchases!E201</f>
        <v>0</v>
      </c>
      <c r="F142" s="199">
        <f ca="1">CDM!D157</f>
        <v>881166.76584775362</v>
      </c>
      <c r="G142" s="185"/>
      <c r="H142" s="197">
        <f t="shared" ca="1" si="41"/>
        <v>2.3899999999999997</v>
      </c>
      <c r="I142" s="197">
        <f t="shared" ca="1" si="41"/>
        <v>185.42</v>
      </c>
      <c r="J142" s="225">
        <f t="shared" ca="1" si="41"/>
        <v>2.3899999999999997</v>
      </c>
      <c r="K142" s="225">
        <f t="shared" ca="1" si="41"/>
        <v>185.42</v>
      </c>
      <c r="L142" s="96">
        <f t="shared" si="34"/>
        <v>31</v>
      </c>
      <c r="M142" s="187">
        <f t="shared" si="35"/>
        <v>0</v>
      </c>
      <c r="N142" s="188">
        <f>Economic!E141</f>
        <v>180.23722671307243</v>
      </c>
      <c r="O142" s="187">
        <f t="shared" si="36"/>
        <v>140</v>
      </c>
      <c r="P142" s="189">
        <f>'Rate Class Customer Model'!W141</f>
        <v>12540.450832723049</v>
      </c>
      <c r="Q142" s="191"/>
      <c r="R142" s="190">
        <f t="shared" ca="1" si="37"/>
        <v>24819979.947692994</v>
      </c>
      <c r="S142" s="69"/>
      <c r="T142" s="69"/>
      <c r="U142"/>
    </row>
    <row r="143" spans="1:21" x14ac:dyDescent="0.2">
      <c r="A143" s="97">
        <f t="shared" si="33"/>
        <v>44807</v>
      </c>
      <c r="B143" s="118">
        <f t="shared" si="38"/>
        <v>2022</v>
      </c>
      <c r="C143" s="118">
        <f t="shared" si="39"/>
        <v>9</v>
      </c>
      <c r="D143" s="99"/>
      <c r="E143" s="115">
        <f>Purchases!E202</f>
        <v>0</v>
      </c>
      <c r="F143" s="199">
        <f ca="1">CDM!D158</f>
        <v>878957.20121093735</v>
      </c>
      <c r="G143" s="185"/>
      <c r="H143" s="197">
        <f t="shared" ca="1" si="41"/>
        <v>45.749999999999993</v>
      </c>
      <c r="I143" s="197">
        <f t="shared" ca="1" si="41"/>
        <v>88.07</v>
      </c>
      <c r="J143" s="225">
        <f t="shared" ca="1" si="41"/>
        <v>45.749999999999993</v>
      </c>
      <c r="K143" s="225">
        <f t="shared" ca="1" si="41"/>
        <v>88.07</v>
      </c>
      <c r="L143" s="96">
        <f t="shared" si="34"/>
        <v>30</v>
      </c>
      <c r="M143" s="187">
        <f t="shared" si="35"/>
        <v>0</v>
      </c>
      <c r="N143" s="188">
        <f>Economic!E142</f>
        <v>180.91398364743068</v>
      </c>
      <c r="O143" s="187">
        <f t="shared" si="36"/>
        <v>141</v>
      </c>
      <c r="P143" s="189">
        <f>'Rate Class Customer Model'!W142</f>
        <v>12549.320230061965</v>
      </c>
      <c r="Q143" s="191"/>
      <c r="R143" s="190">
        <f t="shared" ca="1" si="37"/>
        <v>20403339.585902959</v>
      </c>
      <c r="S143" s="69"/>
      <c r="T143" s="69"/>
      <c r="U143"/>
    </row>
    <row r="144" spans="1:21" x14ac:dyDescent="0.2">
      <c r="A144" s="97">
        <f t="shared" si="33"/>
        <v>44837</v>
      </c>
      <c r="B144" s="118">
        <f t="shared" si="38"/>
        <v>2022</v>
      </c>
      <c r="C144" s="118">
        <f t="shared" si="39"/>
        <v>10</v>
      </c>
      <c r="D144" s="99"/>
      <c r="E144" s="115">
        <f>Purchases!E203</f>
        <v>0</v>
      </c>
      <c r="F144" s="199">
        <f ca="1">CDM!D159</f>
        <v>876747.63657412108</v>
      </c>
      <c r="G144" s="185"/>
      <c r="H144" s="197">
        <f t="shared" ca="1" si="41"/>
        <v>200.71</v>
      </c>
      <c r="I144" s="197">
        <f t="shared" ca="1" si="41"/>
        <v>17.57</v>
      </c>
      <c r="J144" s="225">
        <f t="shared" ca="1" si="41"/>
        <v>200.71</v>
      </c>
      <c r="K144" s="225">
        <f t="shared" ca="1" si="41"/>
        <v>17.57</v>
      </c>
      <c r="L144" s="96">
        <f t="shared" si="34"/>
        <v>31</v>
      </c>
      <c r="M144" s="187">
        <f t="shared" si="35"/>
        <v>0</v>
      </c>
      <c r="N144" s="188">
        <f>Economic!E143</f>
        <v>181.59328167696972</v>
      </c>
      <c r="O144" s="187">
        <f t="shared" si="36"/>
        <v>142</v>
      </c>
      <c r="P144" s="189">
        <f>'Rate Class Customer Model'!W143</f>
        <v>12558.189627400881</v>
      </c>
      <c r="Q144" s="191"/>
      <c r="R144" s="190">
        <f t="shared" ca="1" si="37"/>
        <v>19400410.616252042</v>
      </c>
      <c r="S144" s="69"/>
      <c r="T144" s="69"/>
      <c r="U144"/>
    </row>
    <row r="145" spans="1:24" x14ac:dyDescent="0.2">
      <c r="A145" s="97">
        <f t="shared" si="33"/>
        <v>44868</v>
      </c>
      <c r="B145" s="118">
        <f t="shared" si="38"/>
        <v>2022</v>
      </c>
      <c r="C145" s="118">
        <f t="shared" si="39"/>
        <v>11</v>
      </c>
      <c r="D145" s="99"/>
      <c r="E145" s="115">
        <f>Purchases!E204</f>
        <v>0</v>
      </c>
      <c r="F145" s="199">
        <f ca="1">CDM!D160</f>
        <v>874538.07193730481</v>
      </c>
      <c r="G145" s="185"/>
      <c r="H145" s="197">
        <f t="shared" ca="1" si="41"/>
        <v>400.69</v>
      </c>
      <c r="I145" s="197">
        <f t="shared" ca="1" si="41"/>
        <v>0.43999999999999984</v>
      </c>
      <c r="J145" s="225">
        <f t="shared" ca="1" si="41"/>
        <v>400.69</v>
      </c>
      <c r="K145" s="225">
        <f t="shared" ca="1" si="41"/>
        <v>0.43999999999999984</v>
      </c>
      <c r="L145" s="96">
        <f t="shared" si="34"/>
        <v>30</v>
      </c>
      <c r="M145" s="187">
        <f t="shared" si="35"/>
        <v>0</v>
      </c>
      <c r="N145" s="188">
        <f>Economic!E144</f>
        <v>182.27513034302473</v>
      </c>
      <c r="O145" s="187">
        <f t="shared" si="36"/>
        <v>143</v>
      </c>
      <c r="P145" s="189">
        <f>'Rate Class Customer Model'!W144</f>
        <v>12567.059024739798</v>
      </c>
      <c r="Q145" s="191"/>
      <c r="R145" s="190">
        <f t="shared" ca="1" si="37"/>
        <v>20358123.483454321</v>
      </c>
      <c r="S145" s="69"/>
      <c r="T145" s="69"/>
      <c r="U145"/>
    </row>
    <row r="146" spans="1:24" x14ac:dyDescent="0.2">
      <c r="A146" s="97">
        <f t="shared" si="33"/>
        <v>44898</v>
      </c>
      <c r="B146" s="118">
        <f t="shared" si="38"/>
        <v>2022</v>
      </c>
      <c r="C146" s="118">
        <f t="shared" si="39"/>
        <v>12</v>
      </c>
      <c r="D146" s="99"/>
      <c r="E146" s="115">
        <f>Purchases!E205</f>
        <v>0</v>
      </c>
      <c r="F146" s="199">
        <f ca="1">CDM!D161</f>
        <v>872328.50730048842</v>
      </c>
      <c r="G146" s="185"/>
      <c r="H146" s="197">
        <f t="shared" ca="1" si="41"/>
        <v>549.42000000000007</v>
      </c>
      <c r="I146" s="197">
        <f t="shared" ca="1" si="41"/>
        <v>0</v>
      </c>
      <c r="J146" s="225">
        <f t="shared" ca="1" si="41"/>
        <v>549.42000000000007</v>
      </c>
      <c r="K146" s="225">
        <f t="shared" ca="1" si="41"/>
        <v>0</v>
      </c>
      <c r="L146" s="96">
        <f t="shared" si="34"/>
        <v>31</v>
      </c>
      <c r="M146" s="187">
        <f t="shared" si="35"/>
        <v>0</v>
      </c>
      <c r="N146" s="188">
        <f>Economic!E145</f>
        <v>182.95953922275672</v>
      </c>
      <c r="O146" s="187">
        <f t="shared" si="36"/>
        <v>144</v>
      </c>
      <c r="P146" s="189">
        <f>'Rate Class Customer Model'!W145</f>
        <v>12575.928422078721</v>
      </c>
      <c r="Q146" s="191"/>
      <c r="R146" s="190">
        <f t="shared" ca="1" si="37"/>
        <v>22474533.104134321</v>
      </c>
      <c r="S146" s="69"/>
      <c r="T146" s="69"/>
      <c r="U146"/>
    </row>
    <row r="147" spans="1:24" x14ac:dyDescent="0.2">
      <c r="A147" s="53"/>
      <c r="B147" s="53"/>
      <c r="C147" s="53"/>
      <c r="E147" s="116"/>
      <c r="F147" s="54"/>
      <c r="G147" s="54"/>
      <c r="H147" s="58"/>
      <c r="I147" s="58"/>
      <c r="J147" s="58"/>
      <c r="K147" s="58"/>
      <c r="L147" s="55"/>
      <c r="M147" s="56"/>
      <c r="N147" s="59"/>
      <c r="O147" s="56"/>
      <c r="P147" s="57"/>
      <c r="Q147" s="60"/>
      <c r="R147" s="56"/>
      <c r="S147" s="69"/>
      <c r="T147" s="69"/>
      <c r="U147"/>
    </row>
    <row r="148" spans="1:24" x14ac:dyDescent="0.2">
      <c r="A148" s="53"/>
      <c r="B148" s="53"/>
      <c r="C148" s="53"/>
      <c r="H148"/>
      <c r="I148"/>
      <c r="J148"/>
      <c r="K148"/>
      <c r="R148" s="62"/>
    </row>
    <row r="149" spans="1:24" s="208" customFormat="1" ht="25.5" x14ac:dyDescent="0.2">
      <c r="A149" s="200"/>
      <c r="B149" s="200"/>
      <c r="C149" s="200"/>
      <c r="D149" s="201" t="s">
        <v>4</v>
      </c>
      <c r="E149" s="202"/>
      <c r="F149" s="203" t="s">
        <v>80</v>
      </c>
      <c r="G149" s="203" t="s">
        <v>186</v>
      </c>
      <c r="H149" s="204"/>
      <c r="I149" s="204"/>
      <c r="J149" s="204"/>
      <c r="K149" s="204"/>
      <c r="L149" s="204"/>
      <c r="M149" s="204"/>
      <c r="N149" s="205"/>
      <c r="O149" s="202"/>
      <c r="P149" s="204"/>
      <c r="Q149" s="204"/>
      <c r="R149" s="203" t="s">
        <v>184</v>
      </c>
      <c r="S149" s="206" t="s">
        <v>185</v>
      </c>
      <c r="T149" s="207" t="s">
        <v>18</v>
      </c>
      <c r="U149" s="207" t="s">
        <v>6</v>
      </c>
      <c r="X149" s="209"/>
    </row>
    <row r="150" spans="1:24" x14ac:dyDescent="0.2">
      <c r="A150" s="50">
        <v>2011</v>
      </c>
      <c r="D150" s="51">
        <f t="shared" ref="D150:D159" si="42">SUMIF($B$3:$B$146,A150,$D$3:$D$146)</f>
        <v>255035715.38461539</v>
      </c>
      <c r="F150" s="51">
        <f ca="1">SUMIF($B$3:$B$146,A150,$F$3:$F$146)</f>
        <v>267510.07531960914</v>
      </c>
      <c r="G150" s="198">
        <f ca="1">SUMIF($B$3:$B$146,A150,$G$3:$G$146)</f>
        <v>255303225.45993498</v>
      </c>
      <c r="H150" s="63"/>
      <c r="R150" s="51">
        <f ca="1">SUMIF($B$3:$B$146,A150,$R$3:$R$146)</f>
        <v>251883429.70265448</v>
      </c>
      <c r="S150" s="6">
        <f t="shared" ref="S150:S161" ca="1" si="43">R150-F150</f>
        <v>251615919.62733486</v>
      </c>
      <c r="T150" s="90">
        <f ca="1">S150-D150</f>
        <v>-3419795.7572805285</v>
      </c>
      <c r="U150" s="91">
        <f t="shared" ref="U150:U159" ca="1" si="44">T150/D150</f>
        <v>-1.340908567305245E-2</v>
      </c>
    </row>
    <row r="151" spans="1:24" x14ac:dyDescent="0.2">
      <c r="A151" s="64">
        <v>2012</v>
      </c>
      <c r="B151" s="64"/>
      <c r="C151" s="64"/>
      <c r="D151" s="51">
        <f t="shared" si="42"/>
        <v>246901827.27272725</v>
      </c>
      <c r="F151" s="51">
        <f t="shared" ref="F151:F161" ca="1" si="45">SUMIF($B$3:$B$146,A151,$F$3:$F$146)</f>
        <v>1131361.4706146342</v>
      </c>
      <c r="G151" s="198">
        <f t="shared" ref="G151:G158" ca="1" si="46">SUMIF($B$3:$B$146,A151,$G$3:$G$146)</f>
        <v>248033188.74334189</v>
      </c>
      <c r="H151" s="63"/>
      <c r="R151" s="51">
        <f t="shared" ref="R151:R161" ca="1" si="47">SUMIF($B$3:$B$146,A151,$R$3:$R$146)</f>
        <v>247861432.85265648</v>
      </c>
      <c r="S151" s="6">
        <f t="shared" ca="1" si="43"/>
        <v>246730071.38204184</v>
      </c>
      <c r="T151" s="90">
        <f t="shared" ref="T151:T159" ca="1" si="48">S151-D151</f>
        <v>-171755.89068540931</v>
      </c>
      <c r="U151" s="91">
        <f t="shared" ca="1" si="44"/>
        <v>-6.956444696364604E-4</v>
      </c>
    </row>
    <row r="152" spans="1:24" x14ac:dyDescent="0.2">
      <c r="A152" s="50">
        <v>2013</v>
      </c>
      <c r="D152" s="51">
        <f t="shared" si="42"/>
        <v>247681431.06060606</v>
      </c>
      <c r="F152" s="51">
        <f t="shared" ca="1" si="45"/>
        <v>2052776.6821097257</v>
      </c>
      <c r="G152" s="198">
        <f t="shared" ca="1" si="46"/>
        <v>249734207.74271581</v>
      </c>
      <c r="H152" s="63"/>
      <c r="R152" s="51">
        <f t="shared" ca="1" si="47"/>
        <v>249791975.9498336</v>
      </c>
      <c r="S152" s="6">
        <f t="shared" ca="1" si="43"/>
        <v>247739199.26772389</v>
      </c>
      <c r="T152" s="90">
        <f t="shared" ca="1" si="48"/>
        <v>57768.207117825747</v>
      </c>
      <c r="U152" s="91">
        <f t="shared" ca="1" si="44"/>
        <v>2.33235922735323E-4</v>
      </c>
    </row>
    <row r="153" spans="1:24" x14ac:dyDescent="0.2">
      <c r="A153" s="64">
        <v>2014</v>
      </c>
      <c r="B153" s="64"/>
      <c r="C153" s="64"/>
      <c r="D153" s="51">
        <f t="shared" si="42"/>
        <v>249772655.12820518</v>
      </c>
      <c r="F153" s="51">
        <f t="shared" ca="1" si="45"/>
        <v>2822123.6341703115</v>
      </c>
      <c r="G153" s="198">
        <f t="shared" ca="1" si="46"/>
        <v>252594778.76237547</v>
      </c>
      <c r="H153" s="63"/>
      <c r="R153" s="51">
        <f t="shared" ca="1" si="47"/>
        <v>254542450.92784041</v>
      </c>
      <c r="S153" s="6">
        <f t="shared" ca="1" si="43"/>
        <v>251720327.29367009</v>
      </c>
      <c r="T153" s="90">
        <f t="shared" ca="1" si="48"/>
        <v>1947672.1654649079</v>
      </c>
      <c r="U153" s="91">
        <f t="shared" ca="1" si="44"/>
        <v>7.7977798028578916E-3</v>
      </c>
    </row>
    <row r="154" spans="1:24" x14ac:dyDescent="0.2">
      <c r="A154" s="50">
        <v>2015</v>
      </c>
      <c r="D154" s="51">
        <f t="shared" si="42"/>
        <v>247718853.84615383</v>
      </c>
      <c r="F154" s="51">
        <f t="shared" ca="1" si="45"/>
        <v>4373989.5217464902</v>
      </c>
      <c r="G154" s="198">
        <f t="shared" ca="1" si="46"/>
        <v>252092843.36790034</v>
      </c>
      <c r="H154" s="63"/>
      <c r="R154" s="51">
        <f t="shared" ca="1" si="47"/>
        <v>254506672.07402027</v>
      </c>
      <c r="S154" s="6">
        <f t="shared" ca="1" si="43"/>
        <v>250132682.55227378</v>
      </c>
      <c r="T154" s="90">
        <f t="shared" ca="1" si="48"/>
        <v>2413828.7061199546</v>
      </c>
      <c r="U154" s="91">
        <f t="shared" ca="1" si="44"/>
        <v>9.7442268468554537E-3</v>
      </c>
    </row>
    <row r="155" spans="1:24" x14ac:dyDescent="0.2">
      <c r="A155" s="50">
        <v>2016</v>
      </c>
      <c r="D155" s="51">
        <f t="shared" si="42"/>
        <v>244970130.78000003</v>
      </c>
      <c r="F155" s="51">
        <f t="shared" ca="1" si="45"/>
        <v>6479982.9384643491</v>
      </c>
      <c r="G155" s="198">
        <f t="shared" ca="1" si="46"/>
        <v>251450113.71846434</v>
      </c>
      <c r="H155" s="65"/>
      <c r="I155" s="66"/>
      <c r="J155" s="66"/>
      <c r="K155" s="66"/>
      <c r="R155" s="51">
        <f t="shared" ca="1" si="47"/>
        <v>249226429.13701653</v>
      </c>
      <c r="S155" s="6">
        <f t="shared" ca="1" si="43"/>
        <v>242746446.19855219</v>
      </c>
      <c r="T155" s="90">
        <f t="shared" ca="1" si="48"/>
        <v>-2223684.5814478397</v>
      </c>
      <c r="U155" s="91">
        <f t="shared" ca="1" si="44"/>
        <v>-9.0773702670096587E-3</v>
      </c>
    </row>
    <row r="156" spans="1:24" ht="13.5" customHeight="1" x14ac:dyDescent="0.2">
      <c r="A156" s="50">
        <v>2017</v>
      </c>
      <c r="D156" s="51">
        <f t="shared" si="42"/>
        <v>236059300</v>
      </c>
      <c r="F156" s="51">
        <f t="shared" ca="1" si="45"/>
        <v>8624532.2885947004</v>
      </c>
      <c r="G156" s="198">
        <f t="shared" ca="1" si="46"/>
        <v>244683832.28859466</v>
      </c>
      <c r="H156" s="63"/>
      <c r="R156" s="51">
        <f t="shared" ca="1" si="47"/>
        <v>250470874.32449886</v>
      </c>
      <c r="S156" s="6">
        <f t="shared" ca="1" si="43"/>
        <v>241846342.03590417</v>
      </c>
      <c r="T156" s="90">
        <f t="shared" ca="1" si="48"/>
        <v>5787042.0359041691</v>
      </c>
      <c r="U156" s="91">
        <f t="shared" ca="1" si="44"/>
        <v>2.4515204594371707E-2</v>
      </c>
    </row>
    <row r="157" spans="1:24" ht="13.5" customHeight="1" x14ac:dyDescent="0.2">
      <c r="A157" s="50">
        <v>2018</v>
      </c>
      <c r="D157" s="51">
        <f t="shared" si="42"/>
        <v>252552933.32999998</v>
      </c>
      <c r="F157" s="51">
        <f t="shared" ca="1" si="45"/>
        <v>10113218.890451701</v>
      </c>
      <c r="G157" s="198">
        <f t="shared" ca="1" si="46"/>
        <v>262666152.22045165</v>
      </c>
      <c r="H157" s="63"/>
      <c r="R157" s="51">
        <f t="shared" ca="1" si="47"/>
        <v>255968641.79926041</v>
      </c>
      <c r="S157" s="6">
        <f t="shared" ca="1" si="43"/>
        <v>245855422.90880871</v>
      </c>
      <c r="T157" s="90">
        <f t="shared" ca="1" si="48"/>
        <v>-6697510.4211912751</v>
      </c>
      <c r="U157" s="91">
        <f t="shared" ca="1" si="44"/>
        <v>-2.6519234335876544E-2</v>
      </c>
    </row>
    <row r="158" spans="1:24" ht="13.5" customHeight="1" x14ac:dyDescent="0.2">
      <c r="A158" s="50">
        <v>2019</v>
      </c>
      <c r="D158" s="51">
        <f t="shared" si="42"/>
        <v>248931820</v>
      </c>
      <c r="F158" s="51">
        <f t="shared" ca="1" si="45"/>
        <v>10880569.390879717</v>
      </c>
      <c r="G158" s="198">
        <f t="shared" ca="1" si="46"/>
        <v>259812389.39087972</v>
      </c>
      <c r="H158" s="63"/>
      <c r="R158" s="51">
        <f t="shared" ca="1" si="47"/>
        <v>260534240.97407278</v>
      </c>
      <c r="S158" s="6">
        <f t="shared" ca="1" si="43"/>
        <v>249653671.58319306</v>
      </c>
      <c r="T158" s="90">
        <f t="shared" ca="1" si="48"/>
        <v>721851.58319306374</v>
      </c>
      <c r="U158" s="91">
        <f t="shared" ca="1" si="44"/>
        <v>2.8997963506355424E-3</v>
      </c>
    </row>
    <row r="159" spans="1:24" ht="13.5" customHeight="1" x14ac:dyDescent="0.2">
      <c r="A159" s="50">
        <v>2020</v>
      </c>
      <c r="D159" s="51">
        <f t="shared" si="42"/>
        <v>245634675.53</v>
      </c>
      <c r="F159" s="51">
        <f ca="1">SUMIF($B$3:$B$146,A159,$F$3:$F$146)</f>
        <v>10914971.968468953</v>
      </c>
      <c r="G159" s="198">
        <f ca="1">SUMIF($B$3:$B$146,A159,$G$3:$G$146)</f>
        <v>256549647.49846897</v>
      </c>
      <c r="H159" s="63"/>
      <c r="R159" s="51">
        <f t="shared" ca="1" si="47"/>
        <v>258134231.45127404</v>
      </c>
      <c r="S159" s="6">
        <f ca="1">R159-F159</f>
        <v>247219259.48280507</v>
      </c>
      <c r="T159" s="90">
        <f t="shared" ca="1" si="48"/>
        <v>1584583.9528050721</v>
      </c>
      <c r="U159" s="91">
        <f t="shared" ca="1" si="44"/>
        <v>6.4509782643108245E-3</v>
      </c>
    </row>
    <row r="160" spans="1:24" ht="13.5" customHeight="1" x14ac:dyDescent="0.2">
      <c r="A160" s="50">
        <v>2021</v>
      </c>
      <c r="E160" s="62"/>
      <c r="F160" s="51">
        <f t="shared" ca="1" si="45"/>
        <v>10786119.395307409</v>
      </c>
      <c r="H160" s="62"/>
      <c r="R160" s="51">
        <f ca="1">SUMIF($B$3:$B$146,A160,$R$3:$R$146)</f>
        <v>258746418.46184638</v>
      </c>
      <c r="S160" s="6">
        <f t="shared" ca="1" si="43"/>
        <v>247960299.06653896</v>
      </c>
      <c r="V160" s="90"/>
      <c r="W160" s="90"/>
    </row>
    <row r="161" spans="1:23" ht="13.5" customHeight="1" x14ac:dyDescent="0.2">
      <c r="A161" s="50">
        <v>2022</v>
      </c>
      <c r="E161" s="62"/>
      <c r="F161" s="51">
        <f t="shared" ca="1" si="45"/>
        <v>10613773.353635736</v>
      </c>
      <c r="H161" s="62"/>
      <c r="R161" s="51">
        <f t="shared" ca="1" si="47"/>
        <v>261156824.22056898</v>
      </c>
      <c r="S161" s="6">
        <f t="shared" ca="1" si="43"/>
        <v>250543050.86693326</v>
      </c>
      <c r="T161" s="90"/>
      <c r="V161" s="6"/>
      <c r="W161" s="17"/>
    </row>
    <row r="162" spans="1:23" ht="13.5" customHeight="1" x14ac:dyDescent="0.2">
      <c r="H162" s="63"/>
      <c r="R162" s="62"/>
      <c r="S162" s="51"/>
      <c r="T162" s="51"/>
    </row>
    <row r="163" spans="1:23" ht="13.5" customHeight="1" x14ac:dyDescent="0.2">
      <c r="A163" s="64"/>
      <c r="B163" s="64"/>
      <c r="C163" s="64"/>
      <c r="H163" s="63"/>
      <c r="S163" s="51"/>
      <c r="T163" s="51"/>
    </row>
    <row r="164" spans="1:23" x14ac:dyDescent="0.2">
      <c r="A164" s="70" t="s">
        <v>85</v>
      </c>
      <c r="B164" s="70"/>
      <c r="C164" s="70"/>
      <c r="D164" s="51">
        <f>SUM(D150:D159)</f>
        <v>2475259342.3323078</v>
      </c>
      <c r="F164" s="51">
        <f ca="1">SUM(F150:F161)</f>
        <v>79060929.609763324</v>
      </c>
      <c r="R164" s="51">
        <f ca="1">SUM(R150:R159)</f>
        <v>2532920379.1931276</v>
      </c>
      <c r="S164" s="6">
        <f ca="1">R164-F164</f>
        <v>2453859449.5833645</v>
      </c>
      <c r="T164" s="51"/>
    </row>
    <row r="165" spans="1:23" x14ac:dyDescent="0.2">
      <c r="U165"/>
    </row>
    <row r="175" spans="1:23" x14ac:dyDescent="0.2">
      <c r="U175" s="33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683C-97DE-4646-8381-1F2531CA2D2A}">
  <sheetPr codeName="Sheet9"/>
  <dimension ref="A1:T156"/>
  <sheetViews>
    <sheetView tabSelected="1" topLeftCell="A9" workbookViewId="0">
      <selection activeCell="L23" sqref="L23"/>
    </sheetView>
  </sheetViews>
  <sheetFormatPr defaultRowHeight="12.75" x14ac:dyDescent="0.2"/>
  <cols>
    <col min="3" max="3" width="11.28515625" bestFit="1" customWidth="1"/>
    <col min="4" max="4" width="16.28515625" bestFit="1" customWidth="1"/>
    <col min="5" max="5" width="12" bestFit="1" customWidth="1"/>
    <col min="6" max="7" width="12.42578125" bestFit="1" customWidth="1"/>
    <col min="8" max="8" width="15.140625" bestFit="1" customWidth="1"/>
    <col min="10" max="12" width="14.28515625" customWidth="1"/>
    <col min="14" max="15" width="9.42578125" bestFit="1" customWidth="1"/>
    <col min="17" max="17" width="9.42578125" bestFit="1" customWidth="1"/>
  </cols>
  <sheetData>
    <row r="1" spans="1:20" x14ac:dyDescent="0.2">
      <c r="A1" s="3" t="str">
        <f>Data!A1</f>
        <v>Date</v>
      </c>
      <c r="B1" s="124" t="s">
        <v>75</v>
      </c>
      <c r="C1" s="124" t="s">
        <v>137</v>
      </c>
      <c r="D1" s="124" t="s">
        <v>139</v>
      </c>
      <c r="E1" s="124" t="s">
        <v>138</v>
      </c>
      <c r="F1" s="124" t="s">
        <v>140</v>
      </c>
      <c r="G1" s="124" t="s">
        <v>141</v>
      </c>
      <c r="H1" s="124" t="s">
        <v>142</v>
      </c>
      <c r="I1" s="124" t="s">
        <v>143</v>
      </c>
    </row>
    <row r="2" spans="1:20" x14ac:dyDescent="0.2">
      <c r="A2" s="3">
        <f>Data!A2</f>
        <v>40544</v>
      </c>
      <c r="B2" s="120">
        <f>YEAR(A2)</f>
        <v>2011</v>
      </c>
      <c r="C2" s="109">
        <v>625936.9</v>
      </c>
      <c r="D2" s="125">
        <v>141.06767897061599</v>
      </c>
      <c r="E2" s="126">
        <v>137.72782792395429</v>
      </c>
      <c r="F2" s="146">
        <v>6606.3</v>
      </c>
      <c r="G2" s="146">
        <v>6571.2</v>
      </c>
      <c r="H2" s="146">
        <v>148.9</v>
      </c>
      <c r="I2" s="146">
        <v>148.69999999999999</v>
      </c>
    </row>
    <row r="3" spans="1:20" x14ac:dyDescent="0.2">
      <c r="A3" s="3">
        <f>Data!A3</f>
        <v>40575</v>
      </c>
      <c r="B3" s="120">
        <f t="shared" ref="B3:B66" si="0">YEAR(A3)</f>
        <v>2011</v>
      </c>
      <c r="C3" s="109">
        <v>625936.9</v>
      </c>
      <c r="D3" s="125">
        <v>141.06767897061599</v>
      </c>
      <c r="E3" s="126">
        <v>138.03145074637808</v>
      </c>
      <c r="F3" s="146">
        <v>6619.5</v>
      </c>
      <c r="G3" s="146">
        <v>6548.1</v>
      </c>
      <c r="H3" s="146">
        <v>148.69999999999999</v>
      </c>
      <c r="I3" s="146">
        <v>146.69999999999999</v>
      </c>
      <c r="N3" s="49" t="s">
        <v>217</v>
      </c>
      <c r="O3" t="s">
        <v>218</v>
      </c>
      <c r="P3" t="s">
        <v>219</v>
      </c>
      <c r="Q3" t="s">
        <v>220</v>
      </c>
      <c r="S3" t="s">
        <v>221</v>
      </c>
      <c r="T3" t="s">
        <v>9</v>
      </c>
    </row>
    <row r="4" spans="1:20" x14ac:dyDescent="0.2">
      <c r="A4" s="3">
        <f>Data!A4</f>
        <v>40603</v>
      </c>
      <c r="B4" s="120">
        <f t="shared" si="0"/>
        <v>2011</v>
      </c>
      <c r="C4" s="109">
        <v>625936.9</v>
      </c>
      <c r="D4" s="125">
        <v>141.06767897061599</v>
      </c>
      <c r="E4" s="126">
        <v>138.33507356880187</v>
      </c>
      <c r="F4" s="146">
        <v>6628.6</v>
      </c>
      <c r="G4" s="146">
        <v>6523.7</v>
      </c>
      <c r="H4" s="146">
        <v>149.1</v>
      </c>
      <c r="I4" s="146">
        <v>145.4</v>
      </c>
      <c r="N4" s="239">
        <v>44461</v>
      </c>
      <c r="O4" s="244">
        <v>44463</v>
      </c>
      <c r="P4" s="239">
        <v>44448</v>
      </c>
      <c r="Q4" s="239">
        <v>44452</v>
      </c>
    </row>
    <row r="5" spans="1:20" x14ac:dyDescent="0.2">
      <c r="A5" s="3">
        <f>Data!A5</f>
        <v>40634</v>
      </c>
      <c r="B5" s="120">
        <f t="shared" si="0"/>
        <v>2011</v>
      </c>
      <c r="C5" s="109">
        <v>625936.9</v>
      </c>
      <c r="D5" s="125">
        <v>141.06767897061599</v>
      </c>
      <c r="E5" s="126">
        <v>138.63869639122566</v>
      </c>
      <c r="F5" s="146">
        <v>6635.5</v>
      </c>
      <c r="G5" s="146">
        <v>6550</v>
      </c>
      <c r="H5" s="146">
        <v>146.30000000000001</v>
      </c>
      <c r="I5" s="146">
        <v>144</v>
      </c>
      <c r="M5">
        <v>2020</v>
      </c>
      <c r="N5" s="87"/>
      <c r="O5" s="87">
        <v>-0.05</v>
      </c>
      <c r="P5" s="87">
        <v>-5.0999999999999997E-2</v>
      </c>
      <c r="Q5" s="87">
        <v>-0.05</v>
      </c>
      <c r="S5" s="87">
        <f>T5</f>
        <v>-5.0333333333333341E-2</v>
      </c>
      <c r="T5" s="87">
        <f>AVERAGE(N5:Q5)</f>
        <v>-5.0333333333333341E-2</v>
      </c>
    </row>
    <row r="6" spans="1:20" x14ac:dyDescent="0.2">
      <c r="A6" s="3">
        <f>Data!A6</f>
        <v>40664</v>
      </c>
      <c r="B6" s="120">
        <f t="shared" si="0"/>
        <v>2011</v>
      </c>
      <c r="C6" s="109">
        <v>625936.9</v>
      </c>
      <c r="D6" s="125">
        <v>141.06767897061599</v>
      </c>
      <c r="E6" s="126">
        <v>138.94231921364945</v>
      </c>
      <c r="F6" s="146">
        <v>6645.8</v>
      </c>
      <c r="G6" s="146">
        <v>6612</v>
      </c>
      <c r="H6" s="146">
        <v>146.9</v>
      </c>
      <c r="I6" s="146">
        <v>144.6</v>
      </c>
      <c r="L6" s="124" t="s">
        <v>137</v>
      </c>
      <c r="M6">
        <v>2021</v>
      </c>
      <c r="N6" s="87">
        <v>4.3999999999999997E-2</v>
      </c>
      <c r="O6" s="87">
        <v>4.4999999999999998E-2</v>
      </c>
      <c r="P6" s="87">
        <v>4.2999999999999997E-2</v>
      </c>
      <c r="Q6" s="87">
        <v>0.05</v>
      </c>
      <c r="S6" s="87">
        <f>T6</f>
        <v>4.5499999999999999E-2</v>
      </c>
      <c r="T6" s="87">
        <f>AVERAGE(N6:Q6)</f>
        <v>4.5499999999999999E-2</v>
      </c>
    </row>
    <row r="7" spans="1:20" x14ac:dyDescent="0.2">
      <c r="A7" s="3">
        <f>Data!A7</f>
        <v>40695</v>
      </c>
      <c r="B7" s="120">
        <f t="shared" si="0"/>
        <v>2011</v>
      </c>
      <c r="C7" s="109">
        <v>625936.9</v>
      </c>
      <c r="D7" s="125">
        <v>141.06767897061599</v>
      </c>
      <c r="E7" s="126">
        <v>139.24594203607325</v>
      </c>
      <c r="F7" s="146">
        <v>6662</v>
      </c>
      <c r="G7" s="146">
        <v>6706.8</v>
      </c>
      <c r="H7" s="146">
        <v>147.1</v>
      </c>
      <c r="I7" s="146">
        <v>146</v>
      </c>
      <c r="M7">
        <v>2022</v>
      </c>
      <c r="N7" s="87">
        <v>0.05</v>
      </c>
      <c r="O7" s="87">
        <v>4.9000000000000002E-2</v>
      </c>
      <c r="P7" s="87">
        <v>0.04</v>
      </c>
      <c r="Q7" s="87">
        <v>4.4999999999999998E-2</v>
      </c>
      <c r="S7" s="87">
        <f>T7</f>
        <v>4.5999999999999999E-2</v>
      </c>
      <c r="T7" s="87">
        <f>AVERAGE(N7:Q7)</f>
        <v>4.5999999999999999E-2</v>
      </c>
    </row>
    <row r="8" spans="1:20" x14ac:dyDescent="0.2">
      <c r="A8" s="3">
        <f>Data!A8</f>
        <v>40725</v>
      </c>
      <c r="B8" s="120">
        <f t="shared" si="0"/>
        <v>2011</v>
      </c>
      <c r="C8" s="109">
        <v>625936.9</v>
      </c>
      <c r="D8" s="125">
        <v>141.06767897061599</v>
      </c>
      <c r="E8" s="126">
        <v>139.54956485849704</v>
      </c>
      <c r="F8" s="146">
        <v>6665.8</v>
      </c>
      <c r="G8" s="146">
        <v>6755.3</v>
      </c>
      <c r="H8" s="146">
        <v>148</v>
      </c>
      <c r="I8" s="146">
        <v>147.6</v>
      </c>
    </row>
    <row r="9" spans="1:20" x14ac:dyDescent="0.2">
      <c r="A9" s="3">
        <f>Data!A9</f>
        <v>40756</v>
      </c>
      <c r="B9" s="120">
        <f t="shared" si="0"/>
        <v>2011</v>
      </c>
      <c r="C9" s="109">
        <v>625936.9</v>
      </c>
      <c r="D9" s="125">
        <v>141.06767897061599</v>
      </c>
      <c r="E9" s="126">
        <v>139.85318768092083</v>
      </c>
      <c r="F9" s="146">
        <v>6677.5</v>
      </c>
      <c r="G9" s="146">
        <v>6778</v>
      </c>
      <c r="H9" s="146">
        <v>147.9</v>
      </c>
      <c r="I9" s="146">
        <v>148.69999999999999</v>
      </c>
    </row>
    <row r="10" spans="1:20" x14ac:dyDescent="0.2">
      <c r="A10" s="3">
        <f>Data!A10</f>
        <v>40787</v>
      </c>
      <c r="B10" s="120">
        <f t="shared" si="0"/>
        <v>2011</v>
      </c>
      <c r="C10" s="109">
        <v>625936.9</v>
      </c>
      <c r="D10" s="125">
        <v>141.06767897061599</v>
      </c>
      <c r="E10" s="126">
        <v>140.15681050334462</v>
      </c>
      <c r="F10" s="146">
        <v>6674.4</v>
      </c>
      <c r="G10" s="146">
        <v>6734.6</v>
      </c>
      <c r="H10" s="146">
        <v>146</v>
      </c>
      <c r="I10" s="146">
        <v>148.1</v>
      </c>
      <c r="N10" s="239">
        <v>44461</v>
      </c>
      <c r="O10" s="244">
        <v>44463</v>
      </c>
      <c r="P10" s="239">
        <v>44448</v>
      </c>
      <c r="Q10" s="239">
        <v>44452</v>
      </c>
    </row>
    <row r="11" spans="1:20" x14ac:dyDescent="0.2">
      <c r="A11" s="3">
        <f>Data!A11</f>
        <v>40817</v>
      </c>
      <c r="B11" s="120">
        <f t="shared" si="0"/>
        <v>2011</v>
      </c>
      <c r="C11" s="109">
        <v>625936.9</v>
      </c>
      <c r="D11" s="125">
        <v>141.06767897061599</v>
      </c>
      <c r="E11" s="126">
        <v>140.46043332576841</v>
      </c>
      <c r="F11" s="146">
        <v>6668.1</v>
      </c>
      <c r="G11" s="146">
        <v>6702.2</v>
      </c>
      <c r="H11" s="146">
        <v>146</v>
      </c>
      <c r="I11" s="146">
        <v>149.1</v>
      </c>
      <c r="M11">
        <v>2020</v>
      </c>
      <c r="N11" s="87"/>
      <c r="O11" s="87">
        <v>-4.7E-2</v>
      </c>
      <c r="P11" s="87">
        <v>-4.8000000000000001E-2</v>
      </c>
      <c r="Q11" s="87">
        <v>-4.8000000000000001E-2</v>
      </c>
      <c r="S11" s="87">
        <f>T11</f>
        <v>-4.766666666666667E-2</v>
      </c>
      <c r="T11" s="87">
        <f>AVERAGE(N11:Q11)</f>
        <v>-4.766666666666667E-2</v>
      </c>
    </row>
    <row r="12" spans="1:20" x14ac:dyDescent="0.2">
      <c r="A12" s="3">
        <f>Data!A12</f>
        <v>40848</v>
      </c>
      <c r="B12" s="120">
        <f t="shared" si="0"/>
        <v>2011</v>
      </c>
      <c r="C12" s="109">
        <v>625936.9</v>
      </c>
      <c r="D12" s="125">
        <v>141.06767897061599</v>
      </c>
      <c r="E12" s="126">
        <v>140.7640561481922</v>
      </c>
      <c r="F12" s="146">
        <v>6662.8</v>
      </c>
      <c r="G12" s="146">
        <v>6669.4</v>
      </c>
      <c r="H12" s="146">
        <v>147.30000000000001</v>
      </c>
      <c r="I12" s="146">
        <v>150.80000000000001</v>
      </c>
      <c r="L12" s="124" t="s">
        <v>222</v>
      </c>
      <c r="M12">
        <v>2021</v>
      </c>
      <c r="N12" s="87">
        <v>4.3999999999999997E-2</v>
      </c>
      <c r="O12" s="87">
        <v>4.8000000000000001E-2</v>
      </c>
      <c r="P12" s="87">
        <v>3.7999999999999999E-2</v>
      </c>
      <c r="Q12" s="87">
        <v>5.1999999999999998E-2</v>
      </c>
      <c r="S12" s="87">
        <f>T12</f>
        <v>4.5499999999999999E-2</v>
      </c>
      <c r="T12" s="87">
        <f>AVERAGE(N12:Q12)</f>
        <v>4.5499999999999999E-2</v>
      </c>
    </row>
    <row r="13" spans="1:20" x14ac:dyDescent="0.2">
      <c r="A13" s="3">
        <f>Data!A13</f>
        <v>40878</v>
      </c>
      <c r="B13" s="120">
        <f t="shared" si="0"/>
        <v>2011</v>
      </c>
      <c r="C13" s="109">
        <v>625936.9</v>
      </c>
      <c r="D13" s="125">
        <v>141.06767897061599</v>
      </c>
      <c r="E13" s="126">
        <v>141.06767897061599</v>
      </c>
      <c r="F13" s="146">
        <v>6667.5</v>
      </c>
      <c r="G13" s="146">
        <v>6668.3</v>
      </c>
      <c r="H13" s="146">
        <v>149.30000000000001</v>
      </c>
      <c r="I13" s="146">
        <v>152.1</v>
      </c>
      <c r="M13">
        <v>2022</v>
      </c>
      <c r="N13" s="87">
        <v>3.7999999999999999E-2</v>
      </c>
      <c r="O13" s="87">
        <v>3.6999999999999998E-2</v>
      </c>
      <c r="P13" s="87">
        <v>3.5000000000000003E-2</v>
      </c>
      <c r="Q13" s="87">
        <v>2.9000000000000001E-2</v>
      </c>
      <c r="S13" s="87">
        <f>T13</f>
        <v>3.4750000000000003E-2</v>
      </c>
      <c r="T13" s="87">
        <f>AVERAGE(N13:Q13)</f>
        <v>3.4750000000000003E-2</v>
      </c>
    </row>
    <row r="14" spans="1:20" x14ac:dyDescent="0.2">
      <c r="A14" s="3">
        <f>Data!A14</f>
        <v>40909</v>
      </c>
      <c r="B14" s="120">
        <f t="shared" si="0"/>
        <v>2012</v>
      </c>
      <c r="C14" s="109">
        <v>634944.30000000005</v>
      </c>
      <c r="D14" s="125">
        <v>143.09768073526658</v>
      </c>
      <c r="E14" s="126">
        <v>141.23684578433688</v>
      </c>
      <c r="F14" s="146">
        <v>6673.6</v>
      </c>
      <c r="G14" s="146">
        <v>6635.9</v>
      </c>
      <c r="H14" s="146">
        <v>149.5</v>
      </c>
      <c r="I14" s="146">
        <v>149.5</v>
      </c>
    </row>
    <row r="15" spans="1:20" x14ac:dyDescent="0.2">
      <c r="A15" s="3">
        <f>Data!A15</f>
        <v>40940</v>
      </c>
      <c r="B15" s="120">
        <f t="shared" si="0"/>
        <v>2012</v>
      </c>
      <c r="C15" s="109">
        <v>634944.30000000005</v>
      </c>
      <c r="D15" s="125">
        <v>143.09768073526658</v>
      </c>
      <c r="E15" s="126">
        <v>141.40601259805777</v>
      </c>
      <c r="F15" s="146">
        <v>6670.7</v>
      </c>
      <c r="G15" s="146">
        <v>6598</v>
      </c>
      <c r="H15" s="146">
        <v>150.19999999999999</v>
      </c>
      <c r="I15" s="146">
        <v>148.4</v>
      </c>
    </row>
    <row r="16" spans="1:20" x14ac:dyDescent="0.2">
      <c r="A16" s="3">
        <f>Data!A16</f>
        <v>40969</v>
      </c>
      <c r="B16" s="120">
        <f t="shared" si="0"/>
        <v>2012</v>
      </c>
      <c r="C16" s="109">
        <v>634944.30000000005</v>
      </c>
      <c r="D16" s="125">
        <v>143.09768073526658</v>
      </c>
      <c r="E16" s="126">
        <v>141.57517941177866</v>
      </c>
      <c r="F16" s="146">
        <v>6674</v>
      </c>
      <c r="G16" s="146">
        <v>6569.8</v>
      </c>
      <c r="H16" s="146">
        <v>151.80000000000001</v>
      </c>
      <c r="I16" s="146">
        <v>148.5</v>
      </c>
    </row>
    <row r="17" spans="1:9" x14ac:dyDescent="0.2">
      <c r="A17" s="3">
        <f>Data!A17</f>
        <v>41000</v>
      </c>
      <c r="B17" s="120">
        <f t="shared" si="0"/>
        <v>2012</v>
      </c>
      <c r="C17" s="109">
        <v>634944.30000000005</v>
      </c>
      <c r="D17" s="125">
        <v>143.09768073526658</v>
      </c>
      <c r="E17" s="126">
        <v>141.74434622549956</v>
      </c>
      <c r="F17" s="146">
        <v>6685.8</v>
      </c>
      <c r="G17" s="146">
        <v>6603.3</v>
      </c>
      <c r="H17" s="146">
        <v>152.5</v>
      </c>
      <c r="I17" s="146">
        <v>150.6</v>
      </c>
    </row>
    <row r="18" spans="1:9" x14ac:dyDescent="0.2">
      <c r="A18" s="3">
        <f>Data!A18</f>
        <v>41030</v>
      </c>
      <c r="B18" s="120">
        <f t="shared" si="0"/>
        <v>2012</v>
      </c>
      <c r="C18" s="109">
        <v>634944.30000000005</v>
      </c>
      <c r="D18" s="125">
        <v>143.09768073526658</v>
      </c>
      <c r="E18" s="126">
        <v>141.91351303922045</v>
      </c>
      <c r="F18" s="146">
        <v>6690.1</v>
      </c>
      <c r="G18" s="146">
        <v>6658.1</v>
      </c>
      <c r="H18" s="146">
        <v>152.69999999999999</v>
      </c>
      <c r="I18" s="146">
        <v>151.1</v>
      </c>
    </row>
    <row r="19" spans="1:9" x14ac:dyDescent="0.2">
      <c r="A19" s="3">
        <f>Data!A19</f>
        <v>41061</v>
      </c>
      <c r="B19" s="120">
        <f t="shared" si="0"/>
        <v>2012</v>
      </c>
      <c r="C19" s="109">
        <v>634944.30000000005</v>
      </c>
      <c r="D19" s="125">
        <v>143.09768073526658</v>
      </c>
      <c r="E19" s="126">
        <v>142.08267985294134</v>
      </c>
      <c r="F19" s="146">
        <v>6693.3</v>
      </c>
      <c r="G19" s="146">
        <v>6737.2</v>
      </c>
      <c r="H19" s="146">
        <v>152.6</v>
      </c>
      <c r="I19" s="146">
        <v>152.19999999999999</v>
      </c>
    </row>
    <row r="20" spans="1:9" x14ac:dyDescent="0.2">
      <c r="A20" s="3">
        <f>Data!A20</f>
        <v>41091</v>
      </c>
      <c r="B20" s="120">
        <f t="shared" si="0"/>
        <v>2012</v>
      </c>
      <c r="C20" s="109">
        <v>634944.30000000005</v>
      </c>
      <c r="D20" s="125">
        <v>143.09768073526658</v>
      </c>
      <c r="E20" s="126">
        <v>142.25184666666223</v>
      </c>
      <c r="F20" s="146">
        <v>6694.6</v>
      </c>
      <c r="G20" s="146">
        <v>6778.6</v>
      </c>
      <c r="H20" s="146">
        <v>153.80000000000001</v>
      </c>
      <c r="I20" s="146">
        <v>153.4</v>
      </c>
    </row>
    <row r="21" spans="1:9" x14ac:dyDescent="0.2">
      <c r="A21" s="3">
        <f>Data!A21</f>
        <v>41122</v>
      </c>
      <c r="B21" s="120">
        <f t="shared" si="0"/>
        <v>2012</v>
      </c>
      <c r="C21" s="109">
        <v>634944.30000000005</v>
      </c>
      <c r="D21" s="125">
        <v>143.09768073526658</v>
      </c>
      <c r="E21" s="126">
        <v>142.42101348038312</v>
      </c>
      <c r="F21" s="146">
        <v>6703.3</v>
      </c>
      <c r="G21" s="146">
        <v>6797.9</v>
      </c>
      <c r="H21" s="146">
        <v>154.5</v>
      </c>
      <c r="I21" s="146">
        <v>155</v>
      </c>
    </row>
    <row r="22" spans="1:9" x14ac:dyDescent="0.2">
      <c r="A22" s="3">
        <f>Data!A22</f>
        <v>41153</v>
      </c>
      <c r="B22" s="120">
        <f t="shared" si="0"/>
        <v>2012</v>
      </c>
      <c r="C22" s="109">
        <v>634944.30000000005</v>
      </c>
      <c r="D22" s="125">
        <v>143.09768073526658</v>
      </c>
      <c r="E22" s="126">
        <v>142.59018029410402</v>
      </c>
      <c r="F22" s="146">
        <v>6707.4</v>
      </c>
      <c r="G22" s="146">
        <v>6763.1</v>
      </c>
      <c r="H22" s="146">
        <v>155.1</v>
      </c>
      <c r="I22" s="146">
        <v>156.9</v>
      </c>
    </row>
    <row r="23" spans="1:9" x14ac:dyDescent="0.2">
      <c r="A23" s="3">
        <f>Data!A23</f>
        <v>41183</v>
      </c>
      <c r="B23" s="120">
        <f t="shared" si="0"/>
        <v>2012</v>
      </c>
      <c r="C23" s="109">
        <v>634944.30000000005</v>
      </c>
      <c r="D23" s="125">
        <v>143.09768073526658</v>
      </c>
      <c r="E23" s="126">
        <v>142.75934710782491</v>
      </c>
      <c r="F23" s="146">
        <v>6710</v>
      </c>
      <c r="G23" s="146">
        <v>6740.9</v>
      </c>
      <c r="H23" s="146">
        <v>154.30000000000001</v>
      </c>
      <c r="I23" s="146">
        <v>157.5</v>
      </c>
    </row>
    <row r="24" spans="1:9" x14ac:dyDescent="0.2">
      <c r="A24" s="3">
        <f>Data!A24</f>
        <v>41214</v>
      </c>
      <c r="B24" s="120">
        <f t="shared" si="0"/>
        <v>2012</v>
      </c>
      <c r="C24" s="109">
        <v>634944.30000000005</v>
      </c>
      <c r="D24" s="125">
        <v>143.09768073526658</v>
      </c>
      <c r="E24" s="126">
        <v>142.9285139215458</v>
      </c>
      <c r="F24" s="146">
        <v>6722.4</v>
      </c>
      <c r="G24" s="146">
        <v>6727.4</v>
      </c>
      <c r="H24" s="146">
        <v>153.80000000000001</v>
      </c>
      <c r="I24" s="146">
        <v>157.6</v>
      </c>
    </row>
    <row r="25" spans="1:9" x14ac:dyDescent="0.2">
      <c r="A25" s="3">
        <f>Data!A25</f>
        <v>41244</v>
      </c>
      <c r="B25" s="120">
        <f t="shared" si="0"/>
        <v>2012</v>
      </c>
      <c r="C25" s="109">
        <v>634944.30000000005</v>
      </c>
      <c r="D25" s="125">
        <v>143.09768073526658</v>
      </c>
      <c r="E25" s="126">
        <v>143.09768073526669</v>
      </c>
      <c r="F25" s="146">
        <v>6740.6</v>
      </c>
      <c r="G25" s="146">
        <v>6740.2</v>
      </c>
      <c r="H25" s="146">
        <v>152.9</v>
      </c>
      <c r="I25" s="146">
        <v>155.5</v>
      </c>
    </row>
    <row r="26" spans="1:9" x14ac:dyDescent="0.2">
      <c r="A26" s="3">
        <f>Data!A26</f>
        <v>41275</v>
      </c>
      <c r="B26" s="120">
        <f t="shared" si="0"/>
        <v>2013</v>
      </c>
      <c r="C26" s="109">
        <v>643937</v>
      </c>
      <c r="D26" s="125">
        <v>145.12436955434572</v>
      </c>
      <c r="E26" s="126">
        <v>143.26657147018994</v>
      </c>
      <c r="F26" s="146">
        <v>6758.8</v>
      </c>
      <c r="G26" s="146">
        <v>6721.7</v>
      </c>
      <c r="H26" s="146">
        <v>151.4</v>
      </c>
      <c r="I26" s="146">
        <v>151.1</v>
      </c>
    </row>
    <row r="27" spans="1:9" x14ac:dyDescent="0.2">
      <c r="A27" s="3">
        <f>Data!A27</f>
        <v>41306</v>
      </c>
      <c r="B27" s="120">
        <f t="shared" si="0"/>
        <v>2013</v>
      </c>
      <c r="C27" s="109">
        <v>643937</v>
      </c>
      <c r="D27" s="125">
        <v>145.12436955434572</v>
      </c>
      <c r="E27" s="126">
        <v>143.4354622051132</v>
      </c>
      <c r="F27" s="146">
        <v>6775.5</v>
      </c>
      <c r="G27" s="146">
        <v>6702</v>
      </c>
      <c r="H27" s="146">
        <v>151.9</v>
      </c>
      <c r="I27" s="146">
        <v>150.19999999999999</v>
      </c>
    </row>
    <row r="28" spans="1:9" x14ac:dyDescent="0.2">
      <c r="A28" s="3">
        <f>Data!A28</f>
        <v>41334</v>
      </c>
      <c r="B28" s="120">
        <f t="shared" si="0"/>
        <v>2013</v>
      </c>
      <c r="C28" s="109">
        <v>643937</v>
      </c>
      <c r="D28" s="125">
        <v>145.12436955434572</v>
      </c>
      <c r="E28" s="126">
        <v>143.60435294003645</v>
      </c>
      <c r="F28" s="146">
        <v>6781.1</v>
      </c>
      <c r="G28" s="146">
        <v>6675.8</v>
      </c>
      <c r="H28" s="146">
        <v>152.4</v>
      </c>
      <c r="I28" s="146">
        <v>149.4</v>
      </c>
    </row>
    <row r="29" spans="1:9" x14ac:dyDescent="0.2">
      <c r="A29" s="3">
        <f>Data!A29</f>
        <v>41365</v>
      </c>
      <c r="B29" s="120">
        <f t="shared" si="0"/>
        <v>2013</v>
      </c>
      <c r="C29" s="109">
        <v>643937</v>
      </c>
      <c r="D29" s="125">
        <v>145.12436955434572</v>
      </c>
      <c r="E29" s="126">
        <v>143.7732436749597</v>
      </c>
      <c r="F29" s="146">
        <v>6788.9</v>
      </c>
      <c r="G29" s="146">
        <v>6703.7</v>
      </c>
      <c r="H29" s="146">
        <v>154.4</v>
      </c>
      <c r="I29" s="146">
        <v>152.6</v>
      </c>
    </row>
    <row r="30" spans="1:9" x14ac:dyDescent="0.2">
      <c r="A30" s="3">
        <f>Data!A30</f>
        <v>41395</v>
      </c>
      <c r="B30" s="120">
        <f t="shared" si="0"/>
        <v>2013</v>
      </c>
      <c r="C30" s="109">
        <v>643937</v>
      </c>
      <c r="D30" s="125">
        <v>145.12436955434572</v>
      </c>
      <c r="E30" s="126">
        <v>143.94213440988295</v>
      </c>
      <c r="F30" s="146">
        <v>6801.1</v>
      </c>
      <c r="G30" s="146">
        <v>6770.3</v>
      </c>
      <c r="H30" s="146">
        <v>155.30000000000001</v>
      </c>
      <c r="I30" s="146">
        <v>154</v>
      </c>
    </row>
    <row r="31" spans="1:9" x14ac:dyDescent="0.2">
      <c r="A31" s="3">
        <f>Data!A31</f>
        <v>41426</v>
      </c>
      <c r="B31" s="120">
        <f t="shared" si="0"/>
        <v>2013</v>
      </c>
      <c r="C31" s="109">
        <v>643937</v>
      </c>
      <c r="D31" s="125">
        <v>145.12436955434572</v>
      </c>
      <c r="E31" s="126">
        <v>144.11102514480621</v>
      </c>
      <c r="F31" s="146">
        <v>6815.2</v>
      </c>
      <c r="G31" s="146">
        <v>6861.8</v>
      </c>
      <c r="H31" s="146">
        <v>156.1</v>
      </c>
      <c r="I31" s="146">
        <v>155.9</v>
      </c>
    </row>
    <row r="32" spans="1:9" x14ac:dyDescent="0.2">
      <c r="A32" s="3">
        <f>Data!A32</f>
        <v>41456</v>
      </c>
      <c r="B32" s="120">
        <f t="shared" si="0"/>
        <v>2013</v>
      </c>
      <c r="C32" s="109">
        <v>643937</v>
      </c>
      <c r="D32" s="125">
        <v>145.12436955434572</v>
      </c>
      <c r="E32" s="126">
        <v>144.27991587972946</v>
      </c>
      <c r="F32" s="146">
        <v>6826.2</v>
      </c>
      <c r="G32" s="146">
        <v>6917.1</v>
      </c>
      <c r="H32" s="146">
        <v>156</v>
      </c>
      <c r="I32" s="146">
        <v>156.6</v>
      </c>
    </row>
    <row r="33" spans="1:9" x14ac:dyDescent="0.2">
      <c r="A33" s="3">
        <f>Data!A33</f>
        <v>41487</v>
      </c>
      <c r="B33" s="120">
        <f t="shared" si="0"/>
        <v>2013</v>
      </c>
      <c r="C33" s="109">
        <v>643937</v>
      </c>
      <c r="D33" s="125">
        <v>145.12436955434572</v>
      </c>
      <c r="E33" s="126">
        <v>144.44880661465271</v>
      </c>
      <c r="F33" s="146">
        <v>6833.9</v>
      </c>
      <c r="G33" s="146">
        <v>6934.7</v>
      </c>
      <c r="H33" s="146">
        <v>155.80000000000001</v>
      </c>
      <c r="I33" s="146">
        <v>156.5</v>
      </c>
    </row>
    <row r="34" spans="1:9" x14ac:dyDescent="0.2">
      <c r="A34" s="3">
        <f>Data!A34</f>
        <v>41518</v>
      </c>
      <c r="B34" s="120">
        <f t="shared" si="0"/>
        <v>2013</v>
      </c>
      <c r="C34" s="109">
        <v>643937</v>
      </c>
      <c r="D34" s="125">
        <v>145.12436955434572</v>
      </c>
      <c r="E34" s="126">
        <v>144.61769734957596</v>
      </c>
      <c r="F34" s="146">
        <v>6843.3</v>
      </c>
      <c r="G34" s="146">
        <v>6906.9</v>
      </c>
      <c r="H34" s="146">
        <v>154</v>
      </c>
      <c r="I34" s="146">
        <v>154.6</v>
      </c>
    </row>
    <row r="35" spans="1:9" x14ac:dyDescent="0.2">
      <c r="A35" s="3">
        <f>Data!A35</f>
        <v>41548</v>
      </c>
      <c r="B35" s="120">
        <f t="shared" si="0"/>
        <v>2013</v>
      </c>
      <c r="C35" s="109">
        <v>643937</v>
      </c>
      <c r="D35" s="125">
        <v>145.12436955434572</v>
      </c>
      <c r="E35" s="126">
        <v>144.78658808449921</v>
      </c>
      <c r="F35" s="146">
        <v>6850.3</v>
      </c>
      <c r="G35" s="146">
        <v>6889</v>
      </c>
      <c r="H35" s="146">
        <v>154.5</v>
      </c>
      <c r="I35" s="146">
        <v>155.80000000000001</v>
      </c>
    </row>
    <row r="36" spans="1:9" x14ac:dyDescent="0.2">
      <c r="A36" s="3">
        <f>Data!A36</f>
        <v>41579</v>
      </c>
      <c r="B36" s="120">
        <f t="shared" si="0"/>
        <v>2013</v>
      </c>
      <c r="C36" s="109">
        <v>643937</v>
      </c>
      <c r="D36" s="125">
        <v>145.12436955434572</v>
      </c>
      <c r="E36" s="126">
        <v>144.95547881942247</v>
      </c>
      <c r="F36" s="146">
        <v>6854</v>
      </c>
      <c r="G36" s="146">
        <v>6863.8</v>
      </c>
      <c r="H36" s="146">
        <v>155</v>
      </c>
      <c r="I36" s="146">
        <v>156.69999999999999</v>
      </c>
    </row>
    <row r="37" spans="1:9" x14ac:dyDescent="0.2">
      <c r="A37" s="3">
        <f>Data!A37</f>
        <v>41609</v>
      </c>
      <c r="B37" s="120">
        <f t="shared" si="0"/>
        <v>2013</v>
      </c>
      <c r="C37" s="109">
        <v>643937</v>
      </c>
      <c r="D37" s="125">
        <v>145.12436955434572</v>
      </c>
      <c r="E37" s="126">
        <v>145.12436955434572</v>
      </c>
      <c r="F37" s="146">
        <v>6850.4</v>
      </c>
      <c r="G37" s="146">
        <v>6849.3</v>
      </c>
      <c r="H37" s="146">
        <v>157</v>
      </c>
      <c r="I37" s="146">
        <v>159.19999999999999</v>
      </c>
    </row>
    <row r="38" spans="1:9" x14ac:dyDescent="0.2">
      <c r="A38" s="3">
        <f>Data!A38</f>
        <v>41640</v>
      </c>
      <c r="B38" s="120">
        <f t="shared" si="0"/>
        <v>2014</v>
      </c>
      <c r="C38" s="109">
        <v>659861.19999999995</v>
      </c>
      <c r="D38" s="125">
        <v>148.71321362706914</v>
      </c>
      <c r="E38" s="126">
        <v>145.42343989373933</v>
      </c>
      <c r="F38" s="146">
        <v>6848.3</v>
      </c>
      <c r="G38" s="146">
        <v>6806.1</v>
      </c>
      <c r="H38" s="146">
        <v>157.6</v>
      </c>
      <c r="I38" s="146">
        <v>157.1</v>
      </c>
    </row>
    <row r="39" spans="1:9" x14ac:dyDescent="0.2">
      <c r="A39" s="3">
        <f>Data!A39</f>
        <v>41671</v>
      </c>
      <c r="B39" s="120">
        <f t="shared" si="0"/>
        <v>2014</v>
      </c>
      <c r="C39" s="109">
        <v>659861.19999999995</v>
      </c>
      <c r="D39" s="125">
        <v>148.71321362706914</v>
      </c>
      <c r="E39" s="126">
        <v>145.72251023313294</v>
      </c>
      <c r="F39" s="146">
        <v>6850</v>
      </c>
      <c r="G39" s="146">
        <v>6772.3</v>
      </c>
      <c r="H39" s="146">
        <v>156.4</v>
      </c>
      <c r="I39" s="146">
        <v>154.69999999999999</v>
      </c>
    </row>
    <row r="40" spans="1:9" x14ac:dyDescent="0.2">
      <c r="A40" s="3">
        <f>Data!A40</f>
        <v>41699</v>
      </c>
      <c r="B40" s="120">
        <f t="shared" si="0"/>
        <v>2014</v>
      </c>
      <c r="C40" s="109">
        <v>659861.19999999995</v>
      </c>
      <c r="D40" s="125">
        <v>148.71321362706914</v>
      </c>
      <c r="E40" s="126">
        <v>146.02158057252655</v>
      </c>
      <c r="F40" s="146">
        <v>6856.4</v>
      </c>
      <c r="G40" s="146">
        <v>6751.3</v>
      </c>
      <c r="H40" s="146">
        <v>155.30000000000001</v>
      </c>
      <c r="I40" s="146">
        <v>152.4</v>
      </c>
    </row>
    <row r="41" spans="1:9" x14ac:dyDescent="0.2">
      <c r="A41" s="3">
        <f>Data!A41</f>
        <v>41730</v>
      </c>
      <c r="B41" s="120">
        <f t="shared" si="0"/>
        <v>2014</v>
      </c>
      <c r="C41" s="109">
        <v>659861.19999999995</v>
      </c>
      <c r="D41" s="125">
        <v>148.71321362706914</v>
      </c>
      <c r="E41" s="126">
        <v>146.32065091192015</v>
      </c>
      <c r="F41" s="146">
        <v>6869.6</v>
      </c>
      <c r="G41" s="146">
        <v>6785</v>
      </c>
      <c r="H41" s="146">
        <v>152.9</v>
      </c>
      <c r="I41" s="146">
        <v>151.1</v>
      </c>
    </row>
    <row r="42" spans="1:9" x14ac:dyDescent="0.2">
      <c r="A42" s="3">
        <f>Data!A42</f>
        <v>41760</v>
      </c>
      <c r="B42" s="120">
        <f t="shared" si="0"/>
        <v>2014</v>
      </c>
      <c r="C42" s="109">
        <v>659861.19999999995</v>
      </c>
      <c r="D42" s="125">
        <v>148.71321362706914</v>
      </c>
      <c r="E42" s="126">
        <v>146.61972125131376</v>
      </c>
      <c r="F42" s="146">
        <v>6870.6</v>
      </c>
      <c r="G42" s="146">
        <v>6842.6</v>
      </c>
      <c r="H42" s="146">
        <v>152.1</v>
      </c>
      <c r="I42" s="146">
        <v>151.19999999999999</v>
      </c>
    </row>
    <row r="43" spans="1:9" x14ac:dyDescent="0.2">
      <c r="A43" s="3">
        <f>Data!A43</f>
        <v>41791</v>
      </c>
      <c r="B43" s="120">
        <f t="shared" si="0"/>
        <v>2014</v>
      </c>
      <c r="C43" s="109">
        <v>659861.19999999995</v>
      </c>
      <c r="D43" s="125">
        <v>148.71321362706914</v>
      </c>
      <c r="E43" s="126">
        <v>146.91879159070737</v>
      </c>
      <c r="F43" s="146">
        <v>6865.4</v>
      </c>
      <c r="G43" s="146">
        <v>6912.9</v>
      </c>
      <c r="H43" s="146">
        <v>150.80000000000001</v>
      </c>
      <c r="I43" s="146">
        <v>150.9</v>
      </c>
    </row>
    <row r="44" spans="1:9" x14ac:dyDescent="0.2">
      <c r="A44" s="3">
        <f>Data!A44</f>
        <v>41821</v>
      </c>
      <c r="B44" s="120">
        <f t="shared" si="0"/>
        <v>2014</v>
      </c>
      <c r="C44" s="109">
        <v>659861.19999999995</v>
      </c>
      <c r="D44" s="125">
        <v>148.71321362706914</v>
      </c>
      <c r="E44" s="126">
        <v>147.21786193010098</v>
      </c>
      <c r="F44" s="146">
        <v>6864.4</v>
      </c>
      <c r="G44" s="146">
        <v>6957.8</v>
      </c>
      <c r="H44" s="146">
        <v>152.1</v>
      </c>
      <c r="I44" s="146">
        <v>153.6</v>
      </c>
    </row>
    <row r="45" spans="1:9" x14ac:dyDescent="0.2">
      <c r="A45" s="3">
        <f>Data!A45</f>
        <v>41852</v>
      </c>
      <c r="B45" s="120">
        <f t="shared" si="0"/>
        <v>2014</v>
      </c>
      <c r="C45" s="109">
        <v>659861.19999999995</v>
      </c>
      <c r="D45" s="125">
        <v>148.71321362706914</v>
      </c>
      <c r="E45" s="126">
        <v>147.51693226949459</v>
      </c>
      <c r="F45" s="146">
        <v>6869.9</v>
      </c>
      <c r="G45" s="146">
        <v>6969.7</v>
      </c>
      <c r="H45" s="146">
        <v>153.30000000000001</v>
      </c>
      <c r="I45" s="146">
        <v>154.5</v>
      </c>
    </row>
    <row r="46" spans="1:9" x14ac:dyDescent="0.2">
      <c r="A46" s="3">
        <f>Data!A46</f>
        <v>41883</v>
      </c>
      <c r="B46" s="120">
        <f t="shared" si="0"/>
        <v>2014</v>
      </c>
      <c r="C46" s="109">
        <v>659861.19999999995</v>
      </c>
      <c r="D46" s="125">
        <v>148.71321362706914</v>
      </c>
      <c r="E46" s="126">
        <v>147.8160026088882</v>
      </c>
      <c r="F46" s="146">
        <v>6884.5</v>
      </c>
      <c r="G46" s="146">
        <v>6944.1</v>
      </c>
      <c r="H46" s="146">
        <v>155.30000000000001</v>
      </c>
      <c r="I46" s="146">
        <v>156.6</v>
      </c>
    </row>
    <row r="47" spans="1:9" x14ac:dyDescent="0.2">
      <c r="A47" s="3">
        <f>Data!A47</f>
        <v>41913</v>
      </c>
      <c r="B47" s="120">
        <f t="shared" si="0"/>
        <v>2014</v>
      </c>
      <c r="C47" s="109">
        <v>659861.19999999995</v>
      </c>
      <c r="D47" s="125">
        <v>148.71321362706914</v>
      </c>
      <c r="E47" s="126">
        <v>148.11507294828181</v>
      </c>
      <c r="F47" s="146">
        <v>6901.5</v>
      </c>
      <c r="G47" s="146">
        <v>6936.6</v>
      </c>
      <c r="H47" s="146">
        <v>156.9</v>
      </c>
      <c r="I47" s="146">
        <v>158.30000000000001</v>
      </c>
    </row>
    <row r="48" spans="1:9" x14ac:dyDescent="0.2">
      <c r="A48" s="3">
        <f>Data!A48</f>
        <v>41944</v>
      </c>
      <c r="B48" s="120">
        <f t="shared" si="0"/>
        <v>2014</v>
      </c>
      <c r="C48" s="109">
        <v>659861.19999999995</v>
      </c>
      <c r="D48" s="125">
        <v>148.71321362706914</v>
      </c>
      <c r="E48" s="126">
        <v>148.41414328767499</v>
      </c>
      <c r="F48" s="146">
        <v>6907.5</v>
      </c>
      <c r="G48" s="146">
        <v>6914.3</v>
      </c>
      <c r="H48" s="146">
        <v>157.9</v>
      </c>
      <c r="I48" s="146">
        <v>159.30000000000001</v>
      </c>
    </row>
    <row r="49" spans="1:9" x14ac:dyDescent="0.2">
      <c r="A49" s="3">
        <f>Data!A49</f>
        <v>41974</v>
      </c>
      <c r="B49" s="120">
        <f t="shared" si="0"/>
        <v>2014</v>
      </c>
      <c r="C49" s="109">
        <v>659861.19999999995</v>
      </c>
      <c r="D49" s="125">
        <v>148.71321362706914</v>
      </c>
      <c r="E49" s="126">
        <v>148.71321362706902</v>
      </c>
      <c r="F49" s="146">
        <v>6903.1</v>
      </c>
      <c r="G49" s="146">
        <v>6903.2</v>
      </c>
      <c r="H49" s="146">
        <v>159.9</v>
      </c>
      <c r="I49" s="146">
        <v>161.1</v>
      </c>
    </row>
    <row r="50" spans="1:9" x14ac:dyDescent="0.2">
      <c r="A50" s="3">
        <f>Data!A50</f>
        <v>42005</v>
      </c>
      <c r="B50" s="120">
        <f t="shared" si="0"/>
        <v>2015</v>
      </c>
      <c r="C50" s="109">
        <v>677384</v>
      </c>
      <c r="D50" s="125">
        <v>152.66233489642761</v>
      </c>
      <c r="E50" s="126">
        <v>149.04230706618222</v>
      </c>
      <c r="F50" s="146">
        <v>6885.7</v>
      </c>
      <c r="G50" s="146">
        <v>6845.1</v>
      </c>
      <c r="H50" s="146">
        <v>160.4</v>
      </c>
      <c r="I50" s="146">
        <v>159.30000000000001</v>
      </c>
    </row>
    <row r="51" spans="1:9" x14ac:dyDescent="0.2">
      <c r="A51" s="3">
        <f>Data!A51</f>
        <v>42036</v>
      </c>
      <c r="B51" s="120">
        <f t="shared" si="0"/>
        <v>2015</v>
      </c>
      <c r="C51" s="109">
        <v>677384</v>
      </c>
      <c r="D51" s="125">
        <v>152.66233489642761</v>
      </c>
      <c r="E51" s="126">
        <v>149.37140050529541</v>
      </c>
      <c r="F51" s="146">
        <v>6885.3</v>
      </c>
      <c r="G51" s="146">
        <v>6810.3</v>
      </c>
      <c r="H51" s="146">
        <v>161.69999999999999</v>
      </c>
      <c r="I51" s="146">
        <v>159.1</v>
      </c>
    </row>
    <row r="52" spans="1:9" x14ac:dyDescent="0.2">
      <c r="A52" s="3">
        <f>Data!A52</f>
        <v>42064</v>
      </c>
      <c r="B52" s="120">
        <f t="shared" si="0"/>
        <v>2015</v>
      </c>
      <c r="C52" s="109">
        <v>677384</v>
      </c>
      <c r="D52" s="125">
        <v>152.66233489642761</v>
      </c>
      <c r="E52" s="126">
        <v>149.70049394440861</v>
      </c>
      <c r="F52" s="146">
        <v>6892.1</v>
      </c>
      <c r="G52" s="146">
        <v>6783.7</v>
      </c>
      <c r="H52" s="146">
        <v>160.5</v>
      </c>
      <c r="I52" s="146">
        <v>156.1</v>
      </c>
    </row>
    <row r="53" spans="1:9" x14ac:dyDescent="0.2">
      <c r="A53" s="3">
        <f>Data!A53</f>
        <v>42095</v>
      </c>
      <c r="B53" s="120">
        <f t="shared" si="0"/>
        <v>2015</v>
      </c>
      <c r="C53" s="109">
        <v>677384</v>
      </c>
      <c r="D53" s="125">
        <v>152.66233489642761</v>
      </c>
      <c r="E53" s="126">
        <v>150.0295873835218</v>
      </c>
      <c r="F53" s="146">
        <v>6897.3</v>
      </c>
      <c r="G53" s="146">
        <v>6805.6</v>
      </c>
      <c r="H53" s="146">
        <v>160.19999999999999</v>
      </c>
      <c r="I53" s="146">
        <v>156.4</v>
      </c>
    </row>
    <row r="54" spans="1:9" x14ac:dyDescent="0.2">
      <c r="A54" s="3">
        <f>Data!A54</f>
        <v>42125</v>
      </c>
      <c r="B54" s="120">
        <f t="shared" si="0"/>
        <v>2015</v>
      </c>
      <c r="C54" s="109">
        <v>677384</v>
      </c>
      <c r="D54" s="125">
        <v>152.66233489642761</v>
      </c>
      <c r="E54" s="126">
        <v>150.35868082263499</v>
      </c>
      <c r="F54" s="146">
        <v>6906.5</v>
      </c>
      <c r="G54" s="146">
        <v>6870.9</v>
      </c>
      <c r="H54" s="146">
        <v>160.80000000000001</v>
      </c>
      <c r="I54" s="146">
        <v>159.1</v>
      </c>
    </row>
    <row r="55" spans="1:9" x14ac:dyDescent="0.2">
      <c r="A55" s="3">
        <f>Data!A55</f>
        <v>42156</v>
      </c>
      <c r="B55" s="120">
        <f t="shared" si="0"/>
        <v>2015</v>
      </c>
      <c r="C55" s="109">
        <v>677384</v>
      </c>
      <c r="D55" s="125">
        <v>152.66233489642761</v>
      </c>
      <c r="E55" s="126">
        <v>150.68777426174819</v>
      </c>
      <c r="F55" s="146">
        <v>6921.3</v>
      </c>
      <c r="G55" s="146">
        <v>6965.8</v>
      </c>
      <c r="H55" s="146">
        <v>163</v>
      </c>
      <c r="I55" s="146">
        <v>163.9</v>
      </c>
    </row>
    <row r="56" spans="1:9" x14ac:dyDescent="0.2">
      <c r="A56" s="3">
        <f>Data!A56</f>
        <v>42186</v>
      </c>
      <c r="B56" s="120">
        <f t="shared" si="0"/>
        <v>2015</v>
      </c>
      <c r="C56" s="109">
        <v>677384</v>
      </c>
      <c r="D56" s="125">
        <v>152.66233489642761</v>
      </c>
      <c r="E56" s="126">
        <v>151.01686770086138</v>
      </c>
      <c r="F56" s="146">
        <v>6941.2</v>
      </c>
      <c r="G56" s="146">
        <v>7032.3</v>
      </c>
      <c r="H56" s="146">
        <v>162.19999999999999</v>
      </c>
      <c r="I56" s="146">
        <v>164.8</v>
      </c>
    </row>
    <row r="57" spans="1:9" x14ac:dyDescent="0.2">
      <c r="A57" s="3">
        <f>Data!A57</f>
        <v>42217</v>
      </c>
      <c r="B57" s="120">
        <f t="shared" si="0"/>
        <v>2015</v>
      </c>
      <c r="C57" s="109">
        <v>677384</v>
      </c>
      <c r="D57" s="125">
        <v>152.66233489642761</v>
      </c>
      <c r="E57" s="126">
        <v>151.34596113997458</v>
      </c>
      <c r="F57" s="146">
        <v>6949.2</v>
      </c>
      <c r="G57" s="146">
        <v>7045.7</v>
      </c>
      <c r="H57" s="146">
        <v>158.69999999999999</v>
      </c>
      <c r="I57" s="146">
        <v>160.80000000000001</v>
      </c>
    </row>
    <row r="58" spans="1:9" x14ac:dyDescent="0.2">
      <c r="A58" s="3">
        <f>Data!A58</f>
        <v>42248</v>
      </c>
      <c r="B58" s="120">
        <f t="shared" si="0"/>
        <v>2015</v>
      </c>
      <c r="C58" s="109">
        <v>677384</v>
      </c>
      <c r="D58" s="125">
        <v>152.66233489642761</v>
      </c>
      <c r="E58" s="126">
        <v>151.67505457908777</v>
      </c>
      <c r="F58" s="146">
        <v>6941.1</v>
      </c>
      <c r="G58" s="146">
        <v>6994.9</v>
      </c>
      <c r="H58" s="146">
        <v>155.5</v>
      </c>
      <c r="I58" s="146">
        <v>156.69999999999999</v>
      </c>
    </row>
    <row r="59" spans="1:9" x14ac:dyDescent="0.2">
      <c r="A59" s="3">
        <f>Data!A59</f>
        <v>42278</v>
      </c>
      <c r="B59" s="120">
        <f t="shared" si="0"/>
        <v>2015</v>
      </c>
      <c r="C59" s="109">
        <v>677384</v>
      </c>
      <c r="D59" s="125">
        <v>152.66233489642761</v>
      </c>
      <c r="E59" s="126">
        <v>152.00414801820096</v>
      </c>
      <c r="F59" s="146">
        <v>6934.8</v>
      </c>
      <c r="G59" s="146">
        <v>6969</v>
      </c>
      <c r="H59" s="146">
        <v>153.9</v>
      </c>
      <c r="I59" s="146">
        <v>155.1</v>
      </c>
    </row>
    <row r="60" spans="1:9" x14ac:dyDescent="0.2">
      <c r="A60" s="3">
        <f>Data!A60</f>
        <v>42309</v>
      </c>
      <c r="B60" s="120">
        <f t="shared" si="0"/>
        <v>2015</v>
      </c>
      <c r="C60" s="109">
        <v>677384</v>
      </c>
      <c r="D60" s="125">
        <v>152.66233489642761</v>
      </c>
      <c r="E60" s="126">
        <v>152.33324145731416</v>
      </c>
      <c r="F60" s="146">
        <v>6928.3</v>
      </c>
      <c r="G60" s="146">
        <v>6936.9</v>
      </c>
      <c r="H60" s="146">
        <v>154.19999999999999</v>
      </c>
      <c r="I60" s="146">
        <v>155.19999999999999</v>
      </c>
    </row>
    <row r="61" spans="1:9" x14ac:dyDescent="0.2">
      <c r="A61" s="3">
        <f>Data!A61</f>
        <v>42339</v>
      </c>
      <c r="B61" s="120">
        <f t="shared" si="0"/>
        <v>2015</v>
      </c>
      <c r="C61" s="109">
        <v>677384</v>
      </c>
      <c r="D61" s="125">
        <v>152.66233489642761</v>
      </c>
      <c r="E61" s="126">
        <v>152.66233489642735</v>
      </c>
      <c r="F61" s="146">
        <v>6942.8</v>
      </c>
      <c r="G61" s="146">
        <v>6948.2</v>
      </c>
      <c r="H61" s="146">
        <v>154.4</v>
      </c>
      <c r="I61" s="146">
        <v>155.19999999999999</v>
      </c>
    </row>
    <row r="62" spans="1:9" x14ac:dyDescent="0.2">
      <c r="A62" s="3">
        <f>Data!A62</f>
        <v>42370</v>
      </c>
      <c r="B62" s="120">
        <f t="shared" si="0"/>
        <v>2016</v>
      </c>
      <c r="C62" s="109">
        <v>692620.80000000005</v>
      </c>
      <c r="D62" s="125">
        <v>156.09625932385711</v>
      </c>
      <c r="E62" s="126">
        <v>152.94849526537982</v>
      </c>
      <c r="F62" s="146">
        <v>6957.7</v>
      </c>
      <c r="G62" s="146">
        <v>6919.2</v>
      </c>
      <c r="H62" s="146">
        <v>156.19999999999999</v>
      </c>
      <c r="I62" s="146">
        <v>155</v>
      </c>
    </row>
    <row r="63" spans="1:9" x14ac:dyDescent="0.2">
      <c r="A63" s="3">
        <f>Data!A63</f>
        <v>42401</v>
      </c>
      <c r="B63" s="120">
        <f t="shared" si="0"/>
        <v>2016</v>
      </c>
      <c r="C63" s="109">
        <v>692620.80000000005</v>
      </c>
      <c r="D63" s="125">
        <v>156.09625932385711</v>
      </c>
      <c r="E63" s="126">
        <v>153.23465563433228</v>
      </c>
      <c r="F63" s="146">
        <v>6970.6</v>
      </c>
      <c r="G63" s="146">
        <v>6896.8</v>
      </c>
      <c r="H63" s="146">
        <v>158.5</v>
      </c>
      <c r="I63" s="146">
        <v>156</v>
      </c>
    </row>
    <row r="64" spans="1:9" x14ac:dyDescent="0.2">
      <c r="A64" s="3">
        <f>Data!A64</f>
        <v>42430</v>
      </c>
      <c r="B64" s="120">
        <f t="shared" si="0"/>
        <v>2016</v>
      </c>
      <c r="C64" s="109">
        <v>692620.80000000005</v>
      </c>
      <c r="D64" s="125">
        <v>156.09625932385711</v>
      </c>
      <c r="E64" s="126">
        <v>153.52081600328475</v>
      </c>
      <c r="F64" s="146">
        <v>6978.1</v>
      </c>
      <c r="G64" s="146">
        <v>6872.4</v>
      </c>
      <c r="H64" s="146">
        <v>160.80000000000001</v>
      </c>
      <c r="I64" s="146">
        <v>156.80000000000001</v>
      </c>
    </row>
    <row r="65" spans="1:9" x14ac:dyDescent="0.2">
      <c r="A65" s="3">
        <f>Data!A65</f>
        <v>42461</v>
      </c>
      <c r="B65" s="120">
        <f t="shared" si="0"/>
        <v>2016</v>
      </c>
      <c r="C65" s="109">
        <v>692620.80000000005</v>
      </c>
      <c r="D65" s="125">
        <v>156.09625932385711</v>
      </c>
      <c r="E65" s="126">
        <v>153.80697637223722</v>
      </c>
      <c r="F65" s="146">
        <v>6981.8</v>
      </c>
      <c r="G65" s="146">
        <v>6890.3</v>
      </c>
      <c r="H65" s="146">
        <v>162.9</v>
      </c>
      <c r="I65" s="146">
        <v>159.30000000000001</v>
      </c>
    </row>
    <row r="66" spans="1:9" x14ac:dyDescent="0.2">
      <c r="A66" s="3">
        <f>Data!A66</f>
        <v>42491</v>
      </c>
      <c r="B66" s="120">
        <f t="shared" si="0"/>
        <v>2016</v>
      </c>
      <c r="C66" s="109">
        <v>692620.80000000005</v>
      </c>
      <c r="D66" s="125">
        <v>156.09625932385711</v>
      </c>
      <c r="E66" s="126">
        <v>154.09313674118968</v>
      </c>
      <c r="F66" s="146">
        <v>6994.4</v>
      </c>
      <c r="G66" s="146">
        <v>6962.5</v>
      </c>
      <c r="H66" s="146">
        <v>164.7</v>
      </c>
      <c r="I66" s="146">
        <v>162.1</v>
      </c>
    </row>
    <row r="67" spans="1:9" x14ac:dyDescent="0.2">
      <c r="A67" s="3">
        <f>Data!A67</f>
        <v>42522</v>
      </c>
      <c r="B67" s="120">
        <f t="shared" ref="B67:B130" si="1">YEAR(A67)</f>
        <v>2016</v>
      </c>
      <c r="C67" s="109">
        <v>692620.80000000005</v>
      </c>
      <c r="D67" s="125">
        <v>156.09625932385711</v>
      </c>
      <c r="E67" s="126">
        <v>154.37929711014215</v>
      </c>
      <c r="F67" s="146">
        <v>7001.9</v>
      </c>
      <c r="G67" s="146">
        <v>7047.3</v>
      </c>
      <c r="H67" s="146">
        <v>166.5</v>
      </c>
      <c r="I67" s="146">
        <v>166.7</v>
      </c>
    </row>
    <row r="68" spans="1:9" x14ac:dyDescent="0.2">
      <c r="A68" s="3">
        <f>Data!A68</f>
        <v>42552</v>
      </c>
      <c r="B68" s="120">
        <f t="shared" si="1"/>
        <v>2016</v>
      </c>
      <c r="C68" s="109">
        <v>692620.80000000005</v>
      </c>
      <c r="D68" s="125">
        <v>156.09625932385711</v>
      </c>
      <c r="E68" s="126">
        <v>154.66545747909461</v>
      </c>
      <c r="F68" s="146">
        <v>6995.7</v>
      </c>
      <c r="G68" s="146">
        <v>7090.8</v>
      </c>
      <c r="H68" s="146">
        <v>167.8</v>
      </c>
      <c r="I68" s="146">
        <v>169.9</v>
      </c>
    </row>
    <row r="69" spans="1:9" x14ac:dyDescent="0.2">
      <c r="A69" s="3">
        <f>Data!A69</f>
        <v>42583</v>
      </c>
      <c r="B69" s="120">
        <f t="shared" si="1"/>
        <v>2016</v>
      </c>
      <c r="C69" s="109">
        <v>692620.80000000005</v>
      </c>
      <c r="D69" s="125">
        <v>156.09625932385711</v>
      </c>
      <c r="E69" s="126">
        <v>154.95161784804708</v>
      </c>
      <c r="F69" s="146">
        <v>6990.6</v>
      </c>
      <c r="G69" s="146">
        <v>7083.3</v>
      </c>
      <c r="H69" s="146">
        <v>168.3</v>
      </c>
      <c r="I69" s="146">
        <v>171.7</v>
      </c>
    </row>
    <row r="70" spans="1:9" x14ac:dyDescent="0.2">
      <c r="A70" s="3">
        <f>Data!A70</f>
        <v>42614</v>
      </c>
      <c r="B70" s="120">
        <f t="shared" si="1"/>
        <v>2016</v>
      </c>
      <c r="C70" s="109">
        <v>692620.80000000005</v>
      </c>
      <c r="D70" s="125">
        <v>156.09625932385711</v>
      </c>
      <c r="E70" s="126">
        <v>155.23777821699954</v>
      </c>
      <c r="F70" s="146">
        <v>6988.9</v>
      </c>
      <c r="G70" s="146">
        <v>7037</v>
      </c>
      <c r="H70" s="146">
        <v>167.9</v>
      </c>
      <c r="I70" s="146">
        <v>170.5</v>
      </c>
    </row>
    <row r="71" spans="1:9" x14ac:dyDescent="0.2">
      <c r="A71" s="3">
        <f>Data!A71</f>
        <v>42644</v>
      </c>
      <c r="B71" s="120">
        <f t="shared" si="1"/>
        <v>2016</v>
      </c>
      <c r="C71" s="109">
        <v>692620.80000000005</v>
      </c>
      <c r="D71" s="125">
        <v>156.09625932385711</v>
      </c>
      <c r="E71" s="126">
        <v>155.52393858595201</v>
      </c>
      <c r="F71" s="146">
        <v>7006.2</v>
      </c>
      <c r="G71" s="146">
        <v>7033.4</v>
      </c>
      <c r="H71" s="146">
        <v>166.8</v>
      </c>
      <c r="I71" s="146">
        <v>169.2</v>
      </c>
    </row>
    <row r="72" spans="1:9" x14ac:dyDescent="0.2">
      <c r="A72" s="3">
        <f>Data!A72</f>
        <v>42675</v>
      </c>
      <c r="B72" s="120">
        <f t="shared" si="1"/>
        <v>2016</v>
      </c>
      <c r="C72" s="109">
        <v>692620.80000000005</v>
      </c>
      <c r="D72" s="125">
        <v>156.09625932385711</v>
      </c>
      <c r="E72" s="126">
        <v>155.81009895490448</v>
      </c>
      <c r="F72" s="146">
        <v>7018.5</v>
      </c>
      <c r="G72" s="146">
        <v>7026.9</v>
      </c>
      <c r="H72" s="146">
        <v>163.80000000000001</v>
      </c>
      <c r="I72" s="146">
        <v>165.5</v>
      </c>
    </row>
    <row r="73" spans="1:9" x14ac:dyDescent="0.2">
      <c r="A73" s="3">
        <f>Data!A73</f>
        <v>42705</v>
      </c>
      <c r="B73" s="120">
        <f t="shared" si="1"/>
        <v>2016</v>
      </c>
      <c r="C73" s="109">
        <v>692620.80000000005</v>
      </c>
      <c r="D73" s="125">
        <v>156.09625932385711</v>
      </c>
      <c r="E73" s="126">
        <v>156.09625932385694</v>
      </c>
      <c r="F73" s="146">
        <v>7028.8</v>
      </c>
      <c r="G73" s="146">
        <v>7041.6</v>
      </c>
      <c r="H73" s="146">
        <v>161.19999999999999</v>
      </c>
      <c r="I73" s="146">
        <v>162.5</v>
      </c>
    </row>
    <row r="74" spans="1:9" x14ac:dyDescent="0.2">
      <c r="A74" s="3">
        <f>Data!A74</f>
        <v>42736</v>
      </c>
      <c r="B74" s="120">
        <f t="shared" si="1"/>
        <v>2017</v>
      </c>
      <c r="C74" s="109">
        <v>711695.1</v>
      </c>
      <c r="D74" s="125">
        <v>160.39504284179512</v>
      </c>
      <c r="E74" s="126">
        <v>156.45449128368512</v>
      </c>
      <c r="F74" s="146">
        <v>7045.6</v>
      </c>
      <c r="G74" s="146">
        <v>7018.6</v>
      </c>
      <c r="H74" s="146">
        <v>161</v>
      </c>
      <c r="I74" s="146">
        <v>160.69999999999999</v>
      </c>
    </row>
    <row r="75" spans="1:9" x14ac:dyDescent="0.2">
      <c r="A75" s="3">
        <f>Data!A75</f>
        <v>42767</v>
      </c>
      <c r="B75" s="120">
        <f t="shared" si="1"/>
        <v>2017</v>
      </c>
      <c r="C75" s="109">
        <v>711695.1</v>
      </c>
      <c r="D75" s="125">
        <v>160.39504284179512</v>
      </c>
      <c r="E75" s="126">
        <v>156.81272324351329</v>
      </c>
      <c r="F75" s="146">
        <v>7060.7</v>
      </c>
      <c r="G75" s="146">
        <v>6996</v>
      </c>
      <c r="H75" s="146">
        <v>160.6</v>
      </c>
      <c r="I75" s="146">
        <v>158.80000000000001</v>
      </c>
    </row>
    <row r="76" spans="1:9" x14ac:dyDescent="0.2">
      <c r="A76" s="3">
        <f>Data!A76</f>
        <v>42795</v>
      </c>
      <c r="B76" s="120">
        <f t="shared" si="1"/>
        <v>2017</v>
      </c>
      <c r="C76" s="109">
        <v>711695.1</v>
      </c>
      <c r="D76" s="125">
        <v>160.39504284179512</v>
      </c>
      <c r="E76" s="126">
        <v>157.17095520334146</v>
      </c>
      <c r="F76" s="146">
        <v>7074.2</v>
      </c>
      <c r="G76" s="146">
        <v>6972</v>
      </c>
      <c r="H76" s="146">
        <v>160.6</v>
      </c>
      <c r="I76" s="146">
        <v>157.6</v>
      </c>
    </row>
    <row r="77" spans="1:9" x14ac:dyDescent="0.2">
      <c r="A77" s="3">
        <f>Data!A77</f>
        <v>42826</v>
      </c>
      <c r="B77" s="120">
        <f t="shared" si="1"/>
        <v>2017</v>
      </c>
      <c r="C77" s="109">
        <v>711695.1</v>
      </c>
      <c r="D77" s="125">
        <v>160.39504284179512</v>
      </c>
      <c r="E77" s="126">
        <v>157.52918716316964</v>
      </c>
      <c r="F77" s="146">
        <v>7074.8</v>
      </c>
      <c r="G77" s="146">
        <v>6982.8</v>
      </c>
      <c r="H77" s="146">
        <v>159.6</v>
      </c>
      <c r="I77" s="146">
        <v>156.80000000000001</v>
      </c>
    </row>
    <row r="78" spans="1:9" x14ac:dyDescent="0.2">
      <c r="A78" s="3">
        <f>Data!A78</f>
        <v>42856</v>
      </c>
      <c r="B78" s="120">
        <f t="shared" si="1"/>
        <v>2017</v>
      </c>
      <c r="C78" s="109">
        <v>711695.1</v>
      </c>
      <c r="D78" s="125">
        <v>160.39504284179512</v>
      </c>
      <c r="E78" s="126">
        <v>157.88741912299781</v>
      </c>
      <c r="F78" s="146">
        <v>7080.7</v>
      </c>
      <c r="G78" s="146">
        <v>7047.4</v>
      </c>
      <c r="H78" s="146">
        <v>159.30000000000001</v>
      </c>
      <c r="I78" s="146">
        <v>157.69999999999999</v>
      </c>
    </row>
    <row r="79" spans="1:9" x14ac:dyDescent="0.2">
      <c r="A79" s="3">
        <f>Data!A79</f>
        <v>42887</v>
      </c>
      <c r="B79" s="120">
        <f t="shared" si="1"/>
        <v>2017</v>
      </c>
      <c r="C79" s="109">
        <v>711695.1</v>
      </c>
      <c r="D79" s="125">
        <v>160.39504284179512</v>
      </c>
      <c r="E79" s="126">
        <v>158.24565108282599</v>
      </c>
      <c r="F79" s="146">
        <v>7085.4</v>
      </c>
      <c r="G79" s="146">
        <v>7129.6</v>
      </c>
      <c r="H79" s="146">
        <v>160.6</v>
      </c>
      <c r="I79" s="146">
        <v>161.19999999999999</v>
      </c>
    </row>
    <row r="80" spans="1:9" x14ac:dyDescent="0.2">
      <c r="A80" s="3">
        <f>Data!A80</f>
        <v>42917</v>
      </c>
      <c r="B80" s="120">
        <f t="shared" si="1"/>
        <v>2017</v>
      </c>
      <c r="C80" s="109">
        <v>711695.1</v>
      </c>
      <c r="D80" s="125">
        <v>160.39504284179512</v>
      </c>
      <c r="E80" s="126">
        <v>158.60388304265416</v>
      </c>
      <c r="F80" s="146">
        <v>7099.9</v>
      </c>
      <c r="G80" s="146">
        <v>7195</v>
      </c>
      <c r="H80" s="146">
        <v>161</v>
      </c>
      <c r="I80" s="146">
        <v>163.19999999999999</v>
      </c>
    </row>
    <row r="81" spans="1:9" x14ac:dyDescent="0.2">
      <c r="A81" s="3">
        <f>Data!A81</f>
        <v>42948</v>
      </c>
      <c r="B81" s="120">
        <f t="shared" si="1"/>
        <v>2017</v>
      </c>
      <c r="C81" s="109">
        <v>711695.1</v>
      </c>
      <c r="D81" s="125">
        <v>160.39504284179512</v>
      </c>
      <c r="E81" s="126">
        <v>158.96211500248234</v>
      </c>
      <c r="F81" s="146">
        <v>7121.3</v>
      </c>
      <c r="G81" s="146">
        <v>7213.7</v>
      </c>
      <c r="H81" s="146">
        <v>164.6</v>
      </c>
      <c r="I81" s="146">
        <v>167.5</v>
      </c>
    </row>
    <row r="82" spans="1:9" x14ac:dyDescent="0.2">
      <c r="A82" s="3">
        <f>Data!A82</f>
        <v>42979</v>
      </c>
      <c r="B82" s="120">
        <f t="shared" si="1"/>
        <v>2017</v>
      </c>
      <c r="C82" s="109">
        <v>711695.1</v>
      </c>
      <c r="D82" s="125">
        <v>160.39504284179512</v>
      </c>
      <c r="E82" s="126">
        <v>159.32034696231051</v>
      </c>
      <c r="F82" s="146">
        <v>7150.1</v>
      </c>
      <c r="G82" s="146">
        <v>7197</v>
      </c>
      <c r="H82" s="146">
        <v>165.5</v>
      </c>
      <c r="I82" s="146">
        <v>168.1</v>
      </c>
    </row>
    <row r="83" spans="1:9" x14ac:dyDescent="0.2">
      <c r="A83" s="3">
        <f>Data!A83</f>
        <v>43009</v>
      </c>
      <c r="B83" s="120">
        <f t="shared" si="1"/>
        <v>2017</v>
      </c>
      <c r="C83" s="109">
        <v>711695.1</v>
      </c>
      <c r="D83" s="125">
        <v>160.39504284179512</v>
      </c>
      <c r="E83" s="126">
        <v>159.67857892213868</v>
      </c>
      <c r="F83" s="146">
        <v>7170.5</v>
      </c>
      <c r="G83" s="146">
        <v>7193.7</v>
      </c>
      <c r="H83" s="146">
        <v>163.1</v>
      </c>
      <c r="I83" s="146">
        <v>165.1</v>
      </c>
    </row>
    <row r="84" spans="1:9" x14ac:dyDescent="0.2">
      <c r="A84" s="3">
        <f>Data!A84</f>
        <v>43040</v>
      </c>
      <c r="B84" s="120">
        <f t="shared" si="1"/>
        <v>2017</v>
      </c>
      <c r="C84" s="109">
        <v>711695.1</v>
      </c>
      <c r="D84" s="125">
        <v>160.39504284179512</v>
      </c>
      <c r="E84" s="126">
        <v>160.03681088196686</v>
      </c>
      <c r="F84" s="146">
        <v>7189.6</v>
      </c>
      <c r="G84" s="146">
        <v>7194.2</v>
      </c>
      <c r="H84" s="146">
        <v>163.4</v>
      </c>
      <c r="I84" s="146">
        <v>164.7</v>
      </c>
    </row>
    <row r="85" spans="1:9" x14ac:dyDescent="0.2">
      <c r="A85" s="3">
        <f>Data!A85</f>
        <v>43070</v>
      </c>
      <c r="B85" s="120">
        <f t="shared" si="1"/>
        <v>2017</v>
      </c>
      <c r="C85" s="109">
        <v>711695.1</v>
      </c>
      <c r="D85" s="125">
        <v>160.39504284179512</v>
      </c>
      <c r="E85" s="126">
        <v>160.39504284179503</v>
      </c>
      <c r="F85" s="146">
        <v>7203.1</v>
      </c>
      <c r="G85" s="146">
        <v>7213.4</v>
      </c>
      <c r="H85" s="146">
        <v>163.9</v>
      </c>
      <c r="I85" s="146">
        <v>164.3</v>
      </c>
    </row>
    <row r="86" spans="1:9" x14ac:dyDescent="0.2">
      <c r="A86" s="3">
        <f>Data!A86</f>
        <v>43101</v>
      </c>
      <c r="B86" s="120">
        <f t="shared" si="1"/>
        <v>2018</v>
      </c>
      <c r="C86" s="109">
        <v>732426.3</v>
      </c>
      <c r="D86" s="125">
        <v>165.06724265343053</v>
      </c>
      <c r="E86" s="126">
        <v>160.78439282609799</v>
      </c>
      <c r="F86" s="146">
        <v>7199.8</v>
      </c>
      <c r="G86" s="146">
        <v>7172.6</v>
      </c>
      <c r="H86" s="146">
        <v>166.5</v>
      </c>
      <c r="I86" s="146">
        <v>165.8</v>
      </c>
    </row>
    <row r="87" spans="1:9" x14ac:dyDescent="0.2">
      <c r="A87" s="3">
        <f>Data!A87</f>
        <v>43132</v>
      </c>
      <c r="B87" s="120">
        <f t="shared" si="1"/>
        <v>2018</v>
      </c>
      <c r="C87" s="109">
        <v>732426.3</v>
      </c>
      <c r="D87" s="125">
        <v>165.06724265343053</v>
      </c>
      <c r="E87" s="126">
        <v>161.17374281040094</v>
      </c>
      <c r="F87" s="146">
        <v>7189.2</v>
      </c>
      <c r="G87" s="146">
        <v>7125.8</v>
      </c>
      <c r="H87" s="146">
        <v>164.2</v>
      </c>
      <c r="I87" s="146">
        <v>162.30000000000001</v>
      </c>
    </row>
    <row r="88" spans="1:9" x14ac:dyDescent="0.2">
      <c r="A88" s="3">
        <f>Data!A88</f>
        <v>43160</v>
      </c>
      <c r="B88" s="120">
        <f t="shared" si="1"/>
        <v>2018</v>
      </c>
      <c r="C88" s="109">
        <v>732426.3</v>
      </c>
      <c r="D88" s="125">
        <v>165.06724265343053</v>
      </c>
      <c r="E88" s="126">
        <v>161.56309279470389</v>
      </c>
      <c r="F88" s="146">
        <v>7185</v>
      </c>
      <c r="G88" s="146">
        <v>7082.3</v>
      </c>
      <c r="H88" s="146">
        <v>163.6</v>
      </c>
      <c r="I88" s="146">
        <v>160.9</v>
      </c>
    </row>
    <row r="89" spans="1:9" x14ac:dyDescent="0.2">
      <c r="A89" s="3">
        <f>Data!A89</f>
        <v>43191</v>
      </c>
      <c r="B89" s="120">
        <f t="shared" si="1"/>
        <v>2018</v>
      </c>
      <c r="C89" s="109">
        <v>732426.3</v>
      </c>
      <c r="D89" s="125">
        <v>165.06724265343053</v>
      </c>
      <c r="E89" s="126">
        <v>161.95244277900684</v>
      </c>
      <c r="F89" s="146">
        <v>7198.2</v>
      </c>
      <c r="G89" s="146">
        <v>7108.4</v>
      </c>
      <c r="H89" s="146">
        <v>163.5</v>
      </c>
      <c r="I89" s="146">
        <v>161.9</v>
      </c>
    </row>
    <row r="90" spans="1:9" x14ac:dyDescent="0.2">
      <c r="A90" s="3">
        <f>Data!A90</f>
        <v>43221</v>
      </c>
      <c r="B90" s="120">
        <f t="shared" si="1"/>
        <v>2018</v>
      </c>
      <c r="C90" s="109">
        <v>732426.3</v>
      </c>
      <c r="D90" s="125">
        <v>165.06724265343053</v>
      </c>
      <c r="E90" s="126">
        <v>162.3417927633098</v>
      </c>
      <c r="F90" s="146">
        <v>7208.1</v>
      </c>
      <c r="G90" s="146">
        <v>7174.7</v>
      </c>
      <c r="H90" s="146">
        <v>163.6</v>
      </c>
      <c r="I90" s="146">
        <v>163.30000000000001</v>
      </c>
    </row>
    <row r="91" spans="1:9" x14ac:dyDescent="0.2">
      <c r="A91" s="3">
        <f>Data!A91</f>
        <v>43252</v>
      </c>
      <c r="B91" s="120">
        <f t="shared" si="1"/>
        <v>2018</v>
      </c>
      <c r="C91" s="109">
        <v>732426.3</v>
      </c>
      <c r="D91" s="125">
        <v>165.06724265343053</v>
      </c>
      <c r="E91" s="126">
        <v>162.73114274761275</v>
      </c>
      <c r="F91" s="146">
        <v>7224.1</v>
      </c>
      <c r="G91" s="146">
        <v>7269.2</v>
      </c>
      <c r="H91" s="146">
        <v>162.69999999999999</v>
      </c>
      <c r="I91" s="146">
        <v>164.2</v>
      </c>
    </row>
    <row r="92" spans="1:9" x14ac:dyDescent="0.2">
      <c r="A92" s="3">
        <f>Data!A92</f>
        <v>43282</v>
      </c>
      <c r="B92" s="120">
        <f t="shared" si="1"/>
        <v>2018</v>
      </c>
      <c r="C92" s="109">
        <v>732426.3</v>
      </c>
      <c r="D92" s="125">
        <v>165.06724265343053</v>
      </c>
      <c r="E92" s="126">
        <v>163.1204927319157</v>
      </c>
      <c r="F92" s="146">
        <v>7258.6</v>
      </c>
      <c r="G92" s="146">
        <v>7352.5</v>
      </c>
      <c r="H92" s="146">
        <v>163.1</v>
      </c>
      <c r="I92" s="146">
        <v>163.6</v>
      </c>
    </row>
    <row r="93" spans="1:9" x14ac:dyDescent="0.2">
      <c r="A93" s="3">
        <f>Data!A93</f>
        <v>43313</v>
      </c>
      <c r="B93" s="120">
        <f t="shared" si="1"/>
        <v>2018</v>
      </c>
      <c r="C93" s="109">
        <v>732426.3</v>
      </c>
      <c r="D93" s="125">
        <v>165.06724265343053</v>
      </c>
      <c r="E93" s="126">
        <v>163.50984271621866</v>
      </c>
      <c r="F93" s="146">
        <v>7264.8</v>
      </c>
      <c r="G93" s="146">
        <v>7356</v>
      </c>
      <c r="H93" s="146">
        <v>162.30000000000001</v>
      </c>
      <c r="I93" s="146">
        <v>163.30000000000001</v>
      </c>
    </row>
    <row r="94" spans="1:9" x14ac:dyDescent="0.2">
      <c r="A94" s="3">
        <f>Data!A94</f>
        <v>43344</v>
      </c>
      <c r="B94" s="120">
        <f t="shared" si="1"/>
        <v>2018</v>
      </c>
      <c r="C94" s="109">
        <v>732426.3</v>
      </c>
      <c r="D94" s="125">
        <v>165.06724265343053</v>
      </c>
      <c r="E94" s="126">
        <v>163.89919270052161</v>
      </c>
      <c r="F94" s="146">
        <v>7268.1</v>
      </c>
      <c r="G94" s="146">
        <v>7315.2</v>
      </c>
      <c r="H94" s="146">
        <v>162.6</v>
      </c>
      <c r="I94" s="146">
        <v>163.69999999999999</v>
      </c>
    </row>
    <row r="95" spans="1:9" x14ac:dyDescent="0.2">
      <c r="A95" s="3">
        <f>Data!A95</f>
        <v>43374</v>
      </c>
      <c r="B95" s="120">
        <f t="shared" si="1"/>
        <v>2018</v>
      </c>
      <c r="C95" s="109">
        <v>732426.3</v>
      </c>
      <c r="D95" s="125">
        <v>165.06724265343053</v>
      </c>
      <c r="E95" s="126">
        <v>164.28854268482456</v>
      </c>
      <c r="F95" s="146">
        <v>7253</v>
      </c>
      <c r="G95" s="146">
        <v>7274.4</v>
      </c>
      <c r="H95" s="146">
        <v>162.9</v>
      </c>
      <c r="I95" s="146">
        <v>165</v>
      </c>
    </row>
    <row r="96" spans="1:9" x14ac:dyDescent="0.2">
      <c r="A96" s="3">
        <f>Data!A96</f>
        <v>43405</v>
      </c>
      <c r="B96" s="120">
        <f t="shared" si="1"/>
        <v>2018</v>
      </c>
      <c r="C96" s="109">
        <v>732426.3</v>
      </c>
      <c r="D96" s="125">
        <v>165.06724265343053</v>
      </c>
      <c r="E96" s="126">
        <v>164.67789266912752</v>
      </c>
      <c r="F96" s="146">
        <v>7273.5</v>
      </c>
      <c r="G96" s="146">
        <v>7279</v>
      </c>
      <c r="H96" s="146">
        <v>166.3</v>
      </c>
      <c r="I96" s="146">
        <v>167.9</v>
      </c>
    </row>
    <row r="97" spans="1:9" x14ac:dyDescent="0.2">
      <c r="A97" s="3">
        <f>Data!A97</f>
        <v>43435</v>
      </c>
      <c r="B97" s="120">
        <f t="shared" si="1"/>
        <v>2018</v>
      </c>
      <c r="C97" s="109">
        <v>732426.3</v>
      </c>
      <c r="D97" s="125">
        <v>165.06724265343053</v>
      </c>
      <c r="E97" s="126">
        <v>165.06724265343047</v>
      </c>
      <c r="F97" s="146">
        <v>7289.2</v>
      </c>
      <c r="G97" s="146">
        <v>7302.7</v>
      </c>
      <c r="H97" s="146">
        <v>168.5</v>
      </c>
      <c r="I97" s="146">
        <v>169.1</v>
      </c>
    </row>
    <row r="98" spans="1:9" x14ac:dyDescent="0.2">
      <c r="A98" s="3">
        <f>Data!A98</f>
        <v>43466</v>
      </c>
      <c r="B98" s="120">
        <f t="shared" si="1"/>
        <v>2019</v>
      </c>
      <c r="C98" s="109">
        <v>747589.4</v>
      </c>
      <c r="D98" s="125">
        <v>168.48455727891326</v>
      </c>
      <c r="E98" s="126">
        <v>165.3520188722207</v>
      </c>
      <c r="F98" s="146">
        <v>7315.7</v>
      </c>
      <c r="G98" s="146">
        <v>7293.3</v>
      </c>
      <c r="H98" s="146">
        <v>170.7</v>
      </c>
      <c r="I98" s="146">
        <v>170.1</v>
      </c>
    </row>
    <row r="99" spans="1:9" x14ac:dyDescent="0.2">
      <c r="A99" s="3">
        <f>Data!A99</f>
        <v>43497</v>
      </c>
      <c r="B99" s="120">
        <f t="shared" si="1"/>
        <v>2019</v>
      </c>
      <c r="C99" s="109">
        <v>747589.4</v>
      </c>
      <c r="D99" s="125">
        <v>168.48455727891326</v>
      </c>
      <c r="E99" s="126">
        <v>165.63679509101092</v>
      </c>
      <c r="F99" s="146">
        <v>7346.7</v>
      </c>
      <c r="G99" s="146">
        <v>7286.5</v>
      </c>
      <c r="H99" s="146">
        <v>172.2</v>
      </c>
      <c r="I99" s="146">
        <v>170.3</v>
      </c>
    </row>
    <row r="100" spans="1:9" x14ac:dyDescent="0.2">
      <c r="A100" s="3">
        <f>Data!A100</f>
        <v>43525</v>
      </c>
      <c r="B100" s="120">
        <f t="shared" si="1"/>
        <v>2019</v>
      </c>
      <c r="C100" s="109">
        <v>747589.4</v>
      </c>
      <c r="D100" s="125">
        <v>168.48455727891326</v>
      </c>
      <c r="E100" s="126">
        <v>165.92157130980115</v>
      </c>
      <c r="F100" s="146">
        <v>7371</v>
      </c>
      <c r="G100" s="146">
        <v>7268.2</v>
      </c>
      <c r="H100" s="146">
        <v>174</v>
      </c>
      <c r="I100" s="146">
        <v>171.5</v>
      </c>
    </row>
    <row r="101" spans="1:9" x14ac:dyDescent="0.2">
      <c r="A101" s="3">
        <f>Data!A101</f>
        <v>43556</v>
      </c>
      <c r="B101" s="120">
        <f t="shared" si="1"/>
        <v>2019</v>
      </c>
      <c r="C101" s="109">
        <v>747589.4</v>
      </c>
      <c r="D101" s="125">
        <v>168.48455727891326</v>
      </c>
      <c r="E101" s="126">
        <v>166.20634752859138</v>
      </c>
      <c r="F101" s="146">
        <v>7395.4</v>
      </c>
      <c r="G101" s="146">
        <v>7304.3</v>
      </c>
      <c r="H101" s="146">
        <v>175.3</v>
      </c>
      <c r="I101" s="146">
        <v>174</v>
      </c>
    </row>
    <row r="102" spans="1:9" x14ac:dyDescent="0.2">
      <c r="A102" s="3">
        <f>Data!A102</f>
        <v>43586</v>
      </c>
      <c r="B102" s="120">
        <f t="shared" si="1"/>
        <v>2019</v>
      </c>
      <c r="C102" s="109">
        <v>747589.4</v>
      </c>
      <c r="D102" s="125">
        <v>168.48455727891326</v>
      </c>
      <c r="E102" s="126">
        <v>166.49112374738161</v>
      </c>
      <c r="F102" s="146">
        <v>7412.6</v>
      </c>
      <c r="G102" s="146">
        <v>7376.9</v>
      </c>
      <c r="H102" s="146">
        <v>175.3</v>
      </c>
      <c r="I102" s="146">
        <v>175.6</v>
      </c>
    </row>
    <row r="103" spans="1:9" x14ac:dyDescent="0.2">
      <c r="A103" s="3">
        <f>Data!A103</f>
        <v>43617</v>
      </c>
      <c r="B103" s="120">
        <f t="shared" si="1"/>
        <v>2019</v>
      </c>
      <c r="C103" s="109">
        <v>747589.4</v>
      </c>
      <c r="D103" s="125">
        <v>168.48455727891326</v>
      </c>
      <c r="E103" s="126">
        <v>166.77589996617183</v>
      </c>
      <c r="F103" s="146">
        <v>7430.3</v>
      </c>
      <c r="G103" s="146">
        <v>7472.1</v>
      </c>
      <c r="H103" s="146">
        <v>172.7</v>
      </c>
      <c r="I103" s="146">
        <v>174.4</v>
      </c>
    </row>
    <row r="104" spans="1:9" x14ac:dyDescent="0.2">
      <c r="A104" s="3">
        <f>Data!A104</f>
        <v>43647</v>
      </c>
      <c r="B104" s="120">
        <f t="shared" si="1"/>
        <v>2019</v>
      </c>
      <c r="C104" s="109">
        <v>747589.4</v>
      </c>
      <c r="D104" s="125">
        <v>168.48455727891326</v>
      </c>
      <c r="E104" s="126">
        <v>167.06067618496206</v>
      </c>
      <c r="F104" s="146">
        <v>7432.9</v>
      </c>
      <c r="G104" s="146">
        <v>7524.4</v>
      </c>
      <c r="H104" s="146">
        <v>169.7</v>
      </c>
      <c r="I104" s="146">
        <v>170.5</v>
      </c>
    </row>
    <row r="105" spans="1:9" x14ac:dyDescent="0.2">
      <c r="A105" s="3">
        <f>Data!A105</f>
        <v>43678</v>
      </c>
      <c r="B105" s="120">
        <f t="shared" si="1"/>
        <v>2019</v>
      </c>
      <c r="C105" s="109">
        <v>747589.4</v>
      </c>
      <c r="D105" s="125">
        <v>168.48455727891326</v>
      </c>
      <c r="E105" s="126">
        <v>167.34545240375229</v>
      </c>
      <c r="F105" s="146">
        <v>7449.6</v>
      </c>
      <c r="G105" s="146">
        <v>7540.9</v>
      </c>
      <c r="H105" s="146">
        <v>167.9</v>
      </c>
      <c r="I105" s="146">
        <v>168.8</v>
      </c>
    </row>
    <row r="106" spans="1:9" x14ac:dyDescent="0.2">
      <c r="A106" s="3">
        <f>Data!A106</f>
        <v>43709</v>
      </c>
      <c r="B106" s="120">
        <f t="shared" si="1"/>
        <v>2019</v>
      </c>
      <c r="C106" s="109">
        <v>747589.4</v>
      </c>
      <c r="D106" s="125">
        <v>168.48455727891326</v>
      </c>
      <c r="E106" s="126">
        <v>167.63022862254252</v>
      </c>
      <c r="F106" s="146">
        <v>7478.3</v>
      </c>
      <c r="G106" s="146">
        <v>7535</v>
      </c>
      <c r="H106" s="146">
        <v>168.4</v>
      </c>
      <c r="I106" s="146">
        <v>168.6</v>
      </c>
    </row>
    <row r="107" spans="1:9" x14ac:dyDescent="0.2">
      <c r="A107" s="3">
        <f>Data!A107</f>
        <v>43739</v>
      </c>
      <c r="B107" s="120">
        <f t="shared" si="1"/>
        <v>2019</v>
      </c>
      <c r="C107" s="109">
        <v>747589.4</v>
      </c>
      <c r="D107" s="125">
        <v>168.48455727891326</v>
      </c>
      <c r="E107" s="126">
        <v>167.91500484133275</v>
      </c>
      <c r="F107" s="146">
        <v>7504</v>
      </c>
      <c r="G107" s="146">
        <v>7538.5</v>
      </c>
      <c r="H107" s="146">
        <v>168.9</v>
      </c>
      <c r="I107" s="146">
        <v>170.1</v>
      </c>
    </row>
    <row r="108" spans="1:9" x14ac:dyDescent="0.2">
      <c r="A108" s="3">
        <f>Data!A108</f>
        <v>43770</v>
      </c>
      <c r="B108" s="120">
        <f t="shared" si="1"/>
        <v>2019</v>
      </c>
      <c r="C108" s="109">
        <v>747589.4</v>
      </c>
      <c r="D108" s="125">
        <v>168.48455727891326</v>
      </c>
      <c r="E108" s="126">
        <v>168.19978106012297</v>
      </c>
      <c r="F108" s="146">
        <v>7517.3</v>
      </c>
      <c r="G108" s="146">
        <v>7530.1</v>
      </c>
      <c r="H108" s="146">
        <v>167.4</v>
      </c>
      <c r="I108" s="146">
        <v>167.8</v>
      </c>
    </row>
    <row r="109" spans="1:9" x14ac:dyDescent="0.2">
      <c r="A109" s="3">
        <f>Data!A109</f>
        <v>43800</v>
      </c>
      <c r="B109" s="120">
        <f t="shared" si="1"/>
        <v>2019</v>
      </c>
      <c r="C109" s="109">
        <v>747589.4</v>
      </c>
      <c r="D109" s="125">
        <v>168.48455727891326</v>
      </c>
      <c r="E109" s="126">
        <v>168.4845572789132</v>
      </c>
      <c r="F109" s="146">
        <v>7525</v>
      </c>
      <c r="G109" s="146">
        <v>7535.2</v>
      </c>
      <c r="H109" s="146">
        <v>166.8</v>
      </c>
      <c r="I109" s="146">
        <v>167.2</v>
      </c>
    </row>
    <row r="110" spans="1:9" x14ac:dyDescent="0.2">
      <c r="A110" s="3">
        <f>Data!A110</f>
        <v>43831</v>
      </c>
      <c r="B110" s="120">
        <f t="shared" si="1"/>
        <v>2020</v>
      </c>
      <c r="C110" s="109">
        <v>710048.9</v>
      </c>
      <c r="D110" s="125">
        <v>160.02403801188109</v>
      </c>
      <c r="E110" s="126">
        <v>167.77951400666052</v>
      </c>
      <c r="F110" s="146">
        <v>7542</v>
      </c>
      <c r="G110" s="146">
        <v>7512.5</v>
      </c>
      <c r="H110" s="146">
        <v>165.3</v>
      </c>
      <c r="I110" s="146">
        <v>164</v>
      </c>
    </row>
    <row r="111" spans="1:9" x14ac:dyDescent="0.2">
      <c r="A111" s="3">
        <f>Data!A111</f>
        <v>43862</v>
      </c>
      <c r="B111" s="120">
        <f t="shared" si="1"/>
        <v>2020</v>
      </c>
      <c r="C111" s="109">
        <v>710048.9</v>
      </c>
      <c r="D111" s="125">
        <v>160.02403801188109</v>
      </c>
      <c r="E111" s="126">
        <v>167.07447073440784</v>
      </c>
      <c r="F111" s="146">
        <v>7551.9</v>
      </c>
      <c r="G111" s="146">
        <v>7488.9</v>
      </c>
      <c r="H111" s="146">
        <v>167.3</v>
      </c>
      <c r="I111" s="146">
        <v>165.6</v>
      </c>
    </row>
    <row r="112" spans="1:9" x14ac:dyDescent="0.2">
      <c r="A112" s="3">
        <f>Data!A112</f>
        <v>43891</v>
      </c>
      <c r="B112" s="120">
        <f t="shared" si="1"/>
        <v>2020</v>
      </c>
      <c r="C112" s="109">
        <v>710048.9</v>
      </c>
      <c r="D112" s="125">
        <v>160.02403801188109</v>
      </c>
      <c r="E112" s="126">
        <v>166.36942746215516</v>
      </c>
      <c r="F112" s="146">
        <v>7421.9</v>
      </c>
      <c r="G112" s="146">
        <v>7317</v>
      </c>
      <c r="H112" s="146">
        <v>161.19999999999999</v>
      </c>
      <c r="I112" s="146">
        <v>158.5</v>
      </c>
    </row>
    <row r="113" spans="1:20" x14ac:dyDescent="0.2">
      <c r="A113" s="3">
        <f>Data!A113</f>
        <v>43922</v>
      </c>
      <c r="B113" s="120">
        <f t="shared" si="1"/>
        <v>2020</v>
      </c>
      <c r="C113" s="109">
        <v>710048.9</v>
      </c>
      <c r="D113" s="125">
        <v>160.02403801188109</v>
      </c>
      <c r="E113" s="126">
        <v>165.66438418990248</v>
      </c>
      <c r="F113" s="146">
        <v>7056.8</v>
      </c>
      <c r="G113" s="146">
        <v>6968.7</v>
      </c>
      <c r="H113" s="146">
        <v>147.80000000000001</v>
      </c>
      <c r="I113" s="146">
        <v>146.5</v>
      </c>
    </row>
    <row r="114" spans="1:20" x14ac:dyDescent="0.2">
      <c r="A114" s="3">
        <f>Data!A114</f>
        <v>43952</v>
      </c>
      <c r="B114" s="120">
        <f t="shared" si="1"/>
        <v>2020</v>
      </c>
      <c r="C114" s="109">
        <v>710048.9</v>
      </c>
      <c r="D114" s="125">
        <v>160.02403801188109</v>
      </c>
      <c r="E114" s="126">
        <v>164.9593409176498</v>
      </c>
      <c r="F114" s="146">
        <v>6671.4</v>
      </c>
      <c r="G114" s="146">
        <v>6632</v>
      </c>
      <c r="H114" s="146">
        <v>135.4</v>
      </c>
      <c r="I114" s="146">
        <v>135.4</v>
      </c>
    </row>
    <row r="115" spans="1:20" x14ac:dyDescent="0.2">
      <c r="A115" s="3">
        <f>Data!A115</f>
        <v>43983</v>
      </c>
      <c r="B115" s="120">
        <f t="shared" si="1"/>
        <v>2020</v>
      </c>
      <c r="C115" s="109">
        <v>710048.9</v>
      </c>
      <c r="D115" s="125">
        <v>160.02403801188109</v>
      </c>
      <c r="E115" s="126">
        <v>164.25429764539712</v>
      </c>
      <c r="F115" s="146">
        <v>6546.1</v>
      </c>
      <c r="G115" s="146">
        <v>6583</v>
      </c>
      <c r="H115" s="146">
        <v>136.9</v>
      </c>
      <c r="I115" s="146">
        <v>137.6</v>
      </c>
    </row>
    <row r="116" spans="1:20" x14ac:dyDescent="0.2">
      <c r="A116" s="3">
        <f>Data!A116</f>
        <v>44013</v>
      </c>
      <c r="B116" s="120">
        <f t="shared" si="1"/>
        <v>2020</v>
      </c>
      <c r="C116" s="109">
        <v>710048.9</v>
      </c>
      <c r="D116" s="125">
        <v>160.02403801188109</v>
      </c>
      <c r="E116" s="126">
        <v>163.54925437314444</v>
      </c>
      <c r="F116" s="146">
        <v>6700.8</v>
      </c>
      <c r="G116" s="146">
        <v>6777</v>
      </c>
      <c r="H116" s="146">
        <v>147.1</v>
      </c>
      <c r="I116" s="146">
        <v>147.1</v>
      </c>
    </row>
    <row r="117" spans="1:20" x14ac:dyDescent="0.2">
      <c r="A117" s="3">
        <f>Data!A117</f>
        <v>44044</v>
      </c>
      <c r="B117" s="120">
        <f t="shared" si="1"/>
        <v>2020</v>
      </c>
      <c r="C117" s="109">
        <v>710048.9</v>
      </c>
      <c r="D117" s="125">
        <v>160.02403801188109</v>
      </c>
      <c r="E117" s="126">
        <v>162.84421110089175</v>
      </c>
      <c r="F117" s="146">
        <v>6924.2</v>
      </c>
      <c r="G117" s="146">
        <v>7003.5</v>
      </c>
      <c r="H117" s="146">
        <v>153.9</v>
      </c>
      <c r="I117" s="146">
        <v>153</v>
      </c>
    </row>
    <row r="118" spans="1:20" x14ac:dyDescent="0.2">
      <c r="A118" s="3">
        <f>Data!A118</f>
        <v>44075</v>
      </c>
      <c r="B118" s="120">
        <f t="shared" si="1"/>
        <v>2020</v>
      </c>
      <c r="C118" s="109">
        <v>710048.9</v>
      </c>
      <c r="D118" s="125">
        <v>160.02403801188109</v>
      </c>
      <c r="E118" s="126">
        <v>162.13916782863907</v>
      </c>
      <c r="F118" s="146">
        <v>7077.6</v>
      </c>
      <c r="G118" s="146">
        <v>7126.6</v>
      </c>
      <c r="H118" s="146">
        <v>154.4</v>
      </c>
      <c r="I118" s="146">
        <v>153.9</v>
      </c>
      <c r="L118" t="str">
        <f>C1</f>
        <v>GDP</v>
      </c>
      <c r="M118" t="str">
        <f t="shared" ref="M118:R118" si="2">D1</f>
        <v>GDP_Index_Unadj</v>
      </c>
      <c r="N118" t="str">
        <f t="shared" si="2"/>
        <v>GDP_Index</v>
      </c>
      <c r="O118" t="str">
        <f t="shared" si="2"/>
        <v>OntFTE_Adj</v>
      </c>
      <c r="P118" t="str">
        <f t="shared" si="2"/>
        <v>Ont_FTE</v>
      </c>
      <c r="Q118" t="str">
        <f t="shared" si="2"/>
        <v>WindsorFTE_Adj</v>
      </c>
      <c r="R118" t="str">
        <f t="shared" si="2"/>
        <v>WindsorFTE</v>
      </c>
    </row>
    <row r="119" spans="1:20" x14ac:dyDescent="0.2">
      <c r="A119" s="3">
        <f>Data!A119</f>
        <v>44105</v>
      </c>
      <c r="B119" s="120">
        <f t="shared" si="1"/>
        <v>2020</v>
      </c>
      <c r="C119" s="109">
        <v>710048.9</v>
      </c>
      <c r="D119" s="125">
        <v>160.02403801188109</v>
      </c>
      <c r="E119" s="126">
        <v>161.43412455638639</v>
      </c>
      <c r="F119" s="146">
        <v>7190.9</v>
      </c>
      <c r="G119" s="146">
        <v>7223.8</v>
      </c>
      <c r="H119" s="146">
        <v>153.6</v>
      </c>
      <c r="I119" s="146">
        <v>153.80000000000001</v>
      </c>
      <c r="K119" s="242">
        <v>2011</v>
      </c>
      <c r="L119" s="109">
        <f>AVERAGEIF($B:$B,$K119,C:C)</f>
        <v>625936.90000000014</v>
      </c>
      <c r="M119" s="109">
        <f t="shared" ref="M119:R130" si="3">AVERAGEIF($B:$B,$K119,D:D)</f>
        <v>141.06767897061602</v>
      </c>
      <c r="N119" s="109">
        <f t="shared" si="3"/>
        <v>139.39775344728514</v>
      </c>
      <c r="O119" s="109">
        <f t="shared" si="3"/>
        <v>6651.1500000000015</v>
      </c>
      <c r="P119" s="109">
        <f t="shared" si="3"/>
        <v>6651.6333333333341</v>
      </c>
      <c r="Q119" s="109">
        <f t="shared" si="3"/>
        <v>147.625</v>
      </c>
      <c r="R119" s="109">
        <f t="shared" si="3"/>
        <v>147.64999999999998</v>
      </c>
      <c r="S119" s="109"/>
      <c r="T119" s="109"/>
    </row>
    <row r="120" spans="1:20" x14ac:dyDescent="0.2">
      <c r="A120" s="3">
        <f>Data!A120</f>
        <v>44136</v>
      </c>
      <c r="B120" s="120">
        <f t="shared" si="1"/>
        <v>2020</v>
      </c>
      <c r="C120" s="109">
        <v>710048.9</v>
      </c>
      <c r="D120" s="125">
        <v>160.02403801188109</v>
      </c>
      <c r="E120" s="126">
        <v>160.72908128413371</v>
      </c>
      <c r="F120" s="146">
        <v>7269.2</v>
      </c>
      <c r="G120" s="146">
        <v>7284.9</v>
      </c>
      <c r="H120" s="146">
        <v>153.4</v>
      </c>
      <c r="I120" s="146">
        <v>153.80000000000001</v>
      </c>
      <c r="K120" s="242">
        <f>K119+1</f>
        <v>2012</v>
      </c>
      <c r="L120" s="109">
        <f t="shared" ref="L120:L130" si="4">AVERAGEIF($B:$B,$K120,C:C)</f>
        <v>634944.29999999993</v>
      </c>
      <c r="M120" s="109">
        <f t="shared" si="3"/>
        <v>143.09768073526655</v>
      </c>
      <c r="N120" s="109">
        <f t="shared" si="3"/>
        <v>142.16726325980179</v>
      </c>
      <c r="O120" s="109">
        <f t="shared" si="3"/>
        <v>6697.1500000000005</v>
      </c>
      <c r="P120" s="109">
        <f t="shared" si="3"/>
        <v>6695.866666666665</v>
      </c>
      <c r="Q120" s="109">
        <f t="shared" si="3"/>
        <v>152.80833333333334</v>
      </c>
      <c r="R120" s="109">
        <f t="shared" si="3"/>
        <v>153.01666666666668</v>
      </c>
      <c r="S120" s="109"/>
      <c r="T120" s="109"/>
    </row>
    <row r="121" spans="1:20" x14ac:dyDescent="0.2">
      <c r="A121" s="3">
        <f>Data!A121</f>
        <v>44166</v>
      </c>
      <c r="B121" s="120">
        <f t="shared" si="1"/>
        <v>2020</v>
      </c>
      <c r="C121" s="109">
        <v>710048.9</v>
      </c>
      <c r="D121" s="125">
        <v>160.02403801188109</v>
      </c>
      <c r="E121" s="126">
        <v>160.02403801188103</v>
      </c>
      <c r="F121" s="146">
        <v>7287.6</v>
      </c>
      <c r="G121" s="146">
        <v>7299.1</v>
      </c>
      <c r="H121" s="146">
        <v>149.69999999999999</v>
      </c>
      <c r="I121" s="146">
        <v>150.30000000000001</v>
      </c>
      <c r="K121" s="242">
        <f t="shared" ref="K121:K130" si="5">K120+1</f>
        <v>2013</v>
      </c>
      <c r="L121" s="109">
        <f t="shared" si="4"/>
        <v>643937</v>
      </c>
      <c r="M121" s="109">
        <f t="shared" si="3"/>
        <v>145.12436955434575</v>
      </c>
      <c r="N121" s="109">
        <f t="shared" si="3"/>
        <v>144.19547051226786</v>
      </c>
      <c r="O121" s="109">
        <f t="shared" si="3"/>
        <v>6814.8916666666664</v>
      </c>
      <c r="P121" s="109">
        <f t="shared" si="3"/>
        <v>6816.3416666666672</v>
      </c>
      <c r="Q121" s="109">
        <f t="shared" si="3"/>
        <v>154.48333333333332</v>
      </c>
      <c r="R121" s="109">
        <f t="shared" si="3"/>
        <v>154.38333333333333</v>
      </c>
      <c r="S121" s="109"/>
      <c r="T121" s="109"/>
    </row>
    <row r="122" spans="1:20" x14ac:dyDescent="0.2">
      <c r="A122" s="3">
        <f>A110+366</f>
        <v>44197</v>
      </c>
      <c r="B122" s="120">
        <f t="shared" si="1"/>
        <v>2021</v>
      </c>
      <c r="C122" s="240">
        <f>C110*(1+$S$6)</f>
        <v>742356.12495000008</v>
      </c>
      <c r="D122" s="241">
        <f t="shared" ref="C122:D133" si="6">D110*(1+$S$6)</f>
        <v>167.30513174142169</v>
      </c>
      <c r="E122" s="243">
        <v>167.88630449779569</v>
      </c>
      <c r="F122" s="243">
        <f>F98*(1+$S$11)*(1+$S$12)+$O$152</f>
        <v>7311.2055232666644</v>
      </c>
      <c r="G122" s="243">
        <f>G98*(1+$S$11)*(1+$S$12)+P$152</f>
        <v>7284.6568571583357</v>
      </c>
      <c r="H122" s="243">
        <f t="shared" ref="H122:I133" si="7">H98*(1+$S$11)*(1+$S$12)+Q$152</f>
        <v>159.01557516249994</v>
      </c>
      <c r="I122" s="243">
        <f t="shared" si="7"/>
        <v>157.88505277916664</v>
      </c>
      <c r="K122" s="242">
        <f t="shared" si="5"/>
        <v>2014</v>
      </c>
      <c r="L122" s="109">
        <f t="shared" si="4"/>
        <v>659861.20000000007</v>
      </c>
      <c r="M122" s="109">
        <f t="shared" si="3"/>
        <v>148.71321362706911</v>
      </c>
      <c r="N122" s="109">
        <f t="shared" si="3"/>
        <v>147.06832676040415</v>
      </c>
      <c r="O122" s="109">
        <f t="shared" si="3"/>
        <v>6874.2666666666673</v>
      </c>
      <c r="P122" s="109">
        <f t="shared" si="3"/>
        <v>6874.6583333333338</v>
      </c>
      <c r="Q122" s="109">
        <f t="shared" si="3"/>
        <v>155.04166666666669</v>
      </c>
      <c r="R122" s="109">
        <f t="shared" si="3"/>
        <v>155.06666666666663</v>
      </c>
      <c r="S122" s="109"/>
      <c r="T122" s="109"/>
    </row>
    <row r="123" spans="1:20" x14ac:dyDescent="0.2">
      <c r="A123" s="3">
        <f t="shared" ref="A123:A133" si="8">A111+366</f>
        <v>44228</v>
      </c>
      <c r="B123" s="120">
        <f t="shared" si="1"/>
        <v>2021</v>
      </c>
      <c r="C123" s="240">
        <f t="shared" si="6"/>
        <v>742356.12495000008</v>
      </c>
      <c r="D123" s="241">
        <f t="shared" si="6"/>
        <v>167.30513174142169</v>
      </c>
      <c r="E123" s="241">
        <f t="shared" ref="E123:E133" si="9">E122*(1+$S$6)^(1/12)</f>
        <v>168.50997182540399</v>
      </c>
      <c r="F123" s="243">
        <f t="shared" ref="F123:F133" si="10">F99*(1+$S$11)*(1+$S$12)+$O$152</f>
        <v>7342.0711227666652</v>
      </c>
      <c r="G123" s="243">
        <f t="shared" ref="G123:G133" si="11">G99*(1+$S$11)*(1+$S$12)+P$152</f>
        <v>7277.8863385583363</v>
      </c>
      <c r="H123" s="243">
        <f t="shared" si="7"/>
        <v>160.50907191249996</v>
      </c>
      <c r="I123" s="243">
        <f t="shared" si="7"/>
        <v>158.08418567916669</v>
      </c>
      <c r="K123" s="242">
        <f t="shared" si="5"/>
        <v>2015</v>
      </c>
      <c r="L123" s="109">
        <f t="shared" si="4"/>
        <v>677384</v>
      </c>
      <c r="M123" s="109">
        <f t="shared" si="3"/>
        <v>152.66233489642761</v>
      </c>
      <c r="N123" s="109">
        <f t="shared" si="3"/>
        <v>150.85232098130481</v>
      </c>
      <c r="O123" s="109">
        <f t="shared" si="3"/>
        <v>6918.7999999999993</v>
      </c>
      <c r="P123" s="109">
        <f t="shared" si="3"/>
        <v>6917.3666666666677</v>
      </c>
      <c r="Q123" s="109">
        <f t="shared" si="3"/>
        <v>158.79166666666669</v>
      </c>
      <c r="R123" s="109">
        <f t="shared" si="3"/>
        <v>158.47499999999999</v>
      </c>
      <c r="S123" s="109"/>
      <c r="T123" s="109"/>
    </row>
    <row r="124" spans="1:20" x14ac:dyDescent="0.2">
      <c r="A124" s="3">
        <f t="shared" si="8"/>
        <v>44257</v>
      </c>
      <c r="B124" s="120">
        <f t="shared" si="1"/>
        <v>2021</v>
      </c>
      <c r="C124" s="240">
        <f t="shared" si="6"/>
        <v>742356.12495000008</v>
      </c>
      <c r="D124" s="241">
        <f t="shared" si="6"/>
        <v>167.30513174142169</v>
      </c>
      <c r="E124" s="241">
        <f t="shared" si="9"/>
        <v>169.13595596459911</v>
      </c>
      <c r="F124" s="243">
        <f t="shared" si="10"/>
        <v>7366.2657701166654</v>
      </c>
      <c r="G124" s="243">
        <f t="shared" si="11"/>
        <v>7259.6656782083355</v>
      </c>
      <c r="H124" s="243">
        <f t="shared" si="7"/>
        <v>162.30126801249997</v>
      </c>
      <c r="I124" s="243">
        <f t="shared" si="7"/>
        <v>159.27898307916664</v>
      </c>
      <c r="K124" s="242">
        <f t="shared" si="5"/>
        <v>2016</v>
      </c>
      <c r="L124" s="109">
        <f t="shared" si="4"/>
        <v>692620.79999999993</v>
      </c>
      <c r="M124" s="109">
        <f t="shared" si="3"/>
        <v>156.09625932385711</v>
      </c>
      <c r="N124" s="109">
        <f t="shared" si="3"/>
        <v>154.52237729461839</v>
      </c>
      <c r="O124" s="109">
        <f t="shared" si="3"/>
        <v>6992.7666666666664</v>
      </c>
      <c r="P124" s="109">
        <f t="shared" si="3"/>
        <v>6991.791666666667</v>
      </c>
      <c r="Q124" s="109">
        <f t="shared" si="3"/>
        <v>163.78333333333333</v>
      </c>
      <c r="R124" s="109">
        <f t="shared" si="3"/>
        <v>163.76666666666668</v>
      </c>
      <c r="S124" s="109"/>
      <c r="T124" s="109"/>
    </row>
    <row r="125" spans="1:20" x14ac:dyDescent="0.2">
      <c r="A125" s="3">
        <f t="shared" si="8"/>
        <v>44288</v>
      </c>
      <c r="B125" s="120">
        <f t="shared" si="1"/>
        <v>2021</v>
      </c>
      <c r="C125" s="240">
        <f t="shared" si="6"/>
        <v>742356.12495000008</v>
      </c>
      <c r="D125" s="241">
        <f t="shared" si="6"/>
        <v>167.30513174142169</v>
      </c>
      <c r="E125" s="241">
        <f t="shared" si="9"/>
        <v>169.76426552191802</v>
      </c>
      <c r="F125" s="243">
        <f t="shared" si="10"/>
        <v>7390.5599839166644</v>
      </c>
      <c r="G125" s="243">
        <f t="shared" si="11"/>
        <v>7295.6091666583352</v>
      </c>
      <c r="H125" s="243">
        <f t="shared" si="7"/>
        <v>163.5956318625</v>
      </c>
      <c r="I125" s="243">
        <f t="shared" si="7"/>
        <v>161.76814432916666</v>
      </c>
      <c r="K125" s="242">
        <f t="shared" si="5"/>
        <v>2017</v>
      </c>
      <c r="L125" s="109">
        <f t="shared" si="4"/>
        <v>711695.09999999974</v>
      </c>
      <c r="M125" s="109">
        <f t="shared" si="3"/>
        <v>160.39504284179515</v>
      </c>
      <c r="N125" s="109">
        <f t="shared" si="3"/>
        <v>158.42476706274007</v>
      </c>
      <c r="O125" s="109">
        <f t="shared" si="3"/>
        <v>7112.9916666666686</v>
      </c>
      <c r="P125" s="109">
        <f t="shared" si="3"/>
        <v>7112.7833333333319</v>
      </c>
      <c r="Q125" s="109">
        <f t="shared" si="3"/>
        <v>161.93333333333337</v>
      </c>
      <c r="R125" s="109">
        <f t="shared" si="3"/>
        <v>162.14166666666668</v>
      </c>
      <c r="S125" s="109"/>
      <c r="T125" s="109"/>
    </row>
    <row r="126" spans="1:20" x14ac:dyDescent="0.2">
      <c r="A126" s="3">
        <f t="shared" si="8"/>
        <v>44318</v>
      </c>
      <c r="B126" s="120">
        <f t="shared" si="1"/>
        <v>2021</v>
      </c>
      <c r="C126" s="240">
        <f t="shared" si="6"/>
        <v>742356.12495000008</v>
      </c>
      <c r="D126" s="241">
        <f t="shared" si="6"/>
        <v>167.30513174142169</v>
      </c>
      <c r="E126" s="241">
        <f t="shared" si="9"/>
        <v>170.39490913586945</v>
      </c>
      <c r="F126" s="243">
        <f t="shared" si="10"/>
        <v>7407.6854133166653</v>
      </c>
      <c r="G126" s="243">
        <f t="shared" si="11"/>
        <v>7367.8944093583359</v>
      </c>
      <c r="H126" s="243">
        <f t="shared" si="7"/>
        <v>163.5956318625</v>
      </c>
      <c r="I126" s="243">
        <f t="shared" si="7"/>
        <v>163.36120752916665</v>
      </c>
      <c r="K126" s="242">
        <f t="shared" si="5"/>
        <v>2018</v>
      </c>
      <c r="L126" s="109">
        <f t="shared" si="4"/>
        <v>732426.29999999993</v>
      </c>
      <c r="M126" s="109">
        <f t="shared" si="3"/>
        <v>165.06724265343055</v>
      </c>
      <c r="N126" s="109">
        <f t="shared" si="3"/>
        <v>162.9258177397642</v>
      </c>
      <c r="O126" s="109">
        <f t="shared" si="3"/>
        <v>7234.2999999999993</v>
      </c>
      <c r="P126" s="109">
        <f t="shared" si="3"/>
        <v>7234.3999999999987</v>
      </c>
      <c r="Q126" s="109">
        <f t="shared" si="3"/>
        <v>164.14999999999998</v>
      </c>
      <c r="R126" s="109">
        <f t="shared" si="3"/>
        <v>164.25</v>
      </c>
      <c r="S126" s="109"/>
      <c r="T126" s="109"/>
    </row>
    <row r="127" spans="1:20" x14ac:dyDescent="0.2">
      <c r="A127" s="3">
        <f t="shared" si="8"/>
        <v>44349</v>
      </c>
      <c r="B127" s="120">
        <f t="shared" si="1"/>
        <v>2021</v>
      </c>
      <c r="C127" s="240">
        <f t="shared" si="6"/>
        <v>742356.12495000008</v>
      </c>
      <c r="D127" s="241">
        <f t="shared" si="6"/>
        <v>167.30513174142169</v>
      </c>
      <c r="E127" s="241">
        <f t="shared" si="9"/>
        <v>171.02789547705265</v>
      </c>
      <c r="F127" s="243">
        <f t="shared" si="10"/>
        <v>7425.3086749666654</v>
      </c>
      <c r="G127" s="243">
        <f t="shared" si="11"/>
        <v>7462.6816697583363</v>
      </c>
      <c r="H127" s="243">
        <f t="shared" si="7"/>
        <v>161.00690416249995</v>
      </c>
      <c r="I127" s="243">
        <f t="shared" si="7"/>
        <v>162.16641012916668</v>
      </c>
      <c r="K127" s="242">
        <f t="shared" si="5"/>
        <v>2019</v>
      </c>
      <c r="L127" s="109">
        <f t="shared" si="4"/>
        <v>747589.40000000026</v>
      </c>
      <c r="M127" s="109">
        <f t="shared" si="3"/>
        <v>168.48455727891323</v>
      </c>
      <c r="N127" s="109">
        <f t="shared" si="3"/>
        <v>166.91828807556695</v>
      </c>
      <c r="O127" s="109">
        <f t="shared" si="3"/>
        <v>7431.5666666666666</v>
      </c>
      <c r="P127" s="109">
        <f t="shared" si="3"/>
        <v>7433.7833333333338</v>
      </c>
      <c r="Q127" s="109">
        <f t="shared" si="3"/>
        <v>170.77500000000006</v>
      </c>
      <c r="R127" s="109">
        <f t="shared" si="3"/>
        <v>170.74166666666665</v>
      </c>
      <c r="S127" s="109"/>
      <c r="T127" s="109"/>
    </row>
    <row r="128" spans="1:20" x14ac:dyDescent="0.2">
      <c r="A128" s="3">
        <f t="shared" si="8"/>
        <v>44379</v>
      </c>
      <c r="B128" s="120">
        <f t="shared" si="1"/>
        <v>2021</v>
      </c>
      <c r="C128" s="240">
        <f t="shared" si="6"/>
        <v>742356.12495000008</v>
      </c>
      <c r="D128" s="241">
        <f t="shared" si="6"/>
        <v>167.30513174142169</v>
      </c>
      <c r="E128" s="241">
        <f t="shared" si="9"/>
        <v>171.66323324827655</v>
      </c>
      <c r="F128" s="243">
        <f t="shared" si="10"/>
        <v>7427.8974026666647</v>
      </c>
      <c r="G128" s="243">
        <f t="shared" si="11"/>
        <v>7514.7549231083358</v>
      </c>
      <c r="H128" s="243">
        <f t="shared" si="7"/>
        <v>158.01991066249997</v>
      </c>
      <c r="I128" s="243">
        <f t="shared" si="7"/>
        <v>158.28331857916666</v>
      </c>
      <c r="K128" s="242">
        <f t="shared" si="5"/>
        <v>2020</v>
      </c>
      <c r="L128" s="109">
        <f t="shared" si="4"/>
        <v>710048.90000000026</v>
      </c>
      <c r="M128" s="109">
        <f t="shared" si="3"/>
        <v>160.02403801188112</v>
      </c>
      <c r="N128" s="109">
        <f t="shared" si="3"/>
        <v>163.90177600927078</v>
      </c>
      <c r="O128" s="109">
        <f t="shared" si="3"/>
        <v>7103.3666666666659</v>
      </c>
      <c r="P128" s="109">
        <f t="shared" si="3"/>
        <v>7101.416666666667</v>
      </c>
      <c r="Q128" s="109">
        <f t="shared" si="3"/>
        <v>152.16666666666669</v>
      </c>
      <c r="R128" s="109">
        <f t="shared" si="3"/>
        <v>151.625</v>
      </c>
      <c r="S128" s="109"/>
      <c r="T128" s="109"/>
    </row>
    <row r="129" spans="1:20" x14ac:dyDescent="0.2">
      <c r="A129" s="3">
        <f t="shared" si="8"/>
        <v>44410</v>
      </c>
      <c r="B129" s="120">
        <f t="shared" si="1"/>
        <v>2021</v>
      </c>
      <c r="C129" s="240">
        <f t="shared" si="6"/>
        <v>742356.12495000008</v>
      </c>
      <c r="D129" s="241">
        <f t="shared" si="6"/>
        <v>167.30513174142169</v>
      </c>
      <c r="E129" s="241">
        <f t="shared" si="9"/>
        <v>172.30093118467946</v>
      </c>
      <c r="F129" s="243">
        <f t="shared" si="10"/>
        <v>7444.5249998166646</v>
      </c>
      <c r="G129" s="243">
        <f t="shared" si="11"/>
        <v>7531.1833873583355</v>
      </c>
      <c r="H129" s="243">
        <f t="shared" si="7"/>
        <v>156.22771456249995</v>
      </c>
      <c r="I129" s="243">
        <f t="shared" si="7"/>
        <v>156.59068892916667</v>
      </c>
      <c r="K129" s="242">
        <f t="shared" si="5"/>
        <v>2021</v>
      </c>
      <c r="L129" s="109">
        <f t="shared" si="4"/>
        <v>742356.12495000008</v>
      </c>
      <c r="M129" s="109">
        <f t="shared" si="3"/>
        <v>167.30513174142172</v>
      </c>
      <c r="N129" s="109">
        <f t="shared" si="3"/>
        <v>171.35930681769264</v>
      </c>
      <c r="O129" s="109">
        <f t="shared" si="3"/>
        <v>7426.5698499999971</v>
      </c>
      <c r="P129" s="109">
        <f t="shared" si="3"/>
        <v>7424.5311250000041</v>
      </c>
      <c r="Q129" s="109">
        <f t="shared" si="3"/>
        <v>159.09025</v>
      </c>
      <c r="R129" s="109">
        <f t="shared" si="3"/>
        <v>158.52393749999999</v>
      </c>
      <c r="S129" s="109"/>
      <c r="T129" s="109"/>
    </row>
    <row r="130" spans="1:20" x14ac:dyDescent="0.2">
      <c r="A130" s="3">
        <f t="shared" si="8"/>
        <v>44441</v>
      </c>
      <c r="B130" s="120">
        <f t="shared" si="1"/>
        <v>2021</v>
      </c>
      <c r="C130" s="240">
        <f t="shared" si="6"/>
        <v>742356.12495000008</v>
      </c>
      <c r="D130" s="241">
        <f t="shared" si="6"/>
        <v>167.30513174142169</v>
      </c>
      <c r="E130" s="241">
        <f t="shared" si="9"/>
        <v>172.94099805384914</v>
      </c>
      <c r="F130" s="243">
        <f t="shared" si="10"/>
        <v>7473.1005709666651</v>
      </c>
      <c r="G130" s="243">
        <f t="shared" si="11"/>
        <v>7525.3089668083358</v>
      </c>
      <c r="H130" s="243">
        <f t="shared" si="7"/>
        <v>156.72554681249994</v>
      </c>
      <c r="I130" s="243">
        <f t="shared" si="7"/>
        <v>156.39155602916665</v>
      </c>
      <c r="K130" s="242">
        <f t="shared" si="5"/>
        <v>2022</v>
      </c>
      <c r="L130" s="109">
        <f t="shared" si="4"/>
        <v>776504.50669770024</v>
      </c>
      <c r="M130" s="109">
        <f t="shared" si="3"/>
        <v>175.00116780152709</v>
      </c>
      <c r="N130" s="109">
        <f>AVERAGEIF($B:$B,$K130,E:E)</f>
        <v>179.24183493130667</v>
      </c>
      <c r="O130" s="109">
        <f t="shared" si="3"/>
        <v>7684.6431522874991</v>
      </c>
      <c r="P130" s="109">
        <f t="shared" si="3"/>
        <v>7682.5335815937533</v>
      </c>
      <c r="Q130" s="109">
        <f t="shared" si="3"/>
        <v>164.61863618749999</v>
      </c>
      <c r="R130" s="109">
        <f t="shared" si="3"/>
        <v>164.03264432812497</v>
      </c>
      <c r="S130" s="109"/>
      <c r="T130" s="109"/>
    </row>
    <row r="131" spans="1:20" x14ac:dyDescent="0.2">
      <c r="A131" s="3">
        <f t="shared" si="8"/>
        <v>44471</v>
      </c>
      <c r="B131" s="120">
        <f t="shared" ref="B131:B145" si="12">YEAR(A131)</f>
        <v>2021</v>
      </c>
      <c r="C131" s="240">
        <f t="shared" si="6"/>
        <v>742356.12495000008</v>
      </c>
      <c r="D131" s="241">
        <f t="shared" si="6"/>
        <v>167.30513174142169</v>
      </c>
      <c r="E131" s="241">
        <f t="shared" si="9"/>
        <v>173.58344265594337</v>
      </c>
      <c r="F131" s="243">
        <f t="shared" si="10"/>
        <v>7498.6891486166651</v>
      </c>
      <c r="G131" s="243">
        <f t="shared" si="11"/>
        <v>7528.7937925583356</v>
      </c>
      <c r="H131" s="243">
        <f t="shared" si="7"/>
        <v>157.22337906249999</v>
      </c>
      <c r="I131" s="243">
        <f t="shared" si="7"/>
        <v>157.88505277916664</v>
      </c>
      <c r="K131" s="242"/>
    </row>
    <row r="132" spans="1:20" x14ac:dyDescent="0.2">
      <c r="A132" s="3">
        <f t="shared" si="8"/>
        <v>44502</v>
      </c>
      <c r="B132" s="120">
        <f t="shared" si="12"/>
        <v>2021</v>
      </c>
      <c r="C132" s="240">
        <f t="shared" si="6"/>
        <v>742356.12495000008</v>
      </c>
      <c r="D132" s="241">
        <f t="shared" si="6"/>
        <v>167.30513174142169</v>
      </c>
      <c r="E132" s="241">
        <f t="shared" si="9"/>
        <v>174.22827382381092</v>
      </c>
      <c r="F132" s="243">
        <f t="shared" si="10"/>
        <v>7511.9314864666658</v>
      </c>
      <c r="G132" s="243">
        <f t="shared" si="11"/>
        <v>7520.4302107583362</v>
      </c>
      <c r="H132" s="243">
        <f t="shared" si="7"/>
        <v>155.72988231249997</v>
      </c>
      <c r="I132" s="243">
        <f t="shared" si="7"/>
        <v>155.59502442916667</v>
      </c>
      <c r="L132" s="109" t="str">
        <f>L118</f>
        <v>GDP</v>
      </c>
      <c r="M132" s="109" t="str">
        <f t="shared" ref="M132:R132" si="13">M118</f>
        <v>GDP_Index_Unadj</v>
      </c>
      <c r="N132" s="109" t="str">
        <f t="shared" si="13"/>
        <v>GDP_Index</v>
      </c>
      <c r="O132" s="109" t="str">
        <f t="shared" si="13"/>
        <v>OntFTE_Adj</v>
      </c>
      <c r="P132" s="109" t="str">
        <f t="shared" si="13"/>
        <v>Ont_FTE</v>
      </c>
      <c r="Q132" s="109" t="str">
        <f t="shared" si="13"/>
        <v>WindsorFTE_Adj</v>
      </c>
      <c r="R132" s="109" t="str">
        <f t="shared" si="13"/>
        <v>WindsorFTE</v>
      </c>
    </row>
    <row r="133" spans="1:20" x14ac:dyDescent="0.2">
      <c r="A133" s="3">
        <f t="shared" si="8"/>
        <v>44532</v>
      </c>
      <c r="B133" s="120">
        <f t="shared" si="12"/>
        <v>2021</v>
      </c>
      <c r="C133" s="240">
        <f t="shared" si="6"/>
        <v>742356.12495000008</v>
      </c>
      <c r="D133" s="241">
        <f t="shared" si="6"/>
        <v>167.30513174142169</v>
      </c>
      <c r="E133" s="241">
        <f t="shared" si="9"/>
        <v>174.87550042311301</v>
      </c>
      <c r="F133" s="243">
        <f t="shared" si="10"/>
        <v>7519.5981031166648</v>
      </c>
      <c r="G133" s="243">
        <f t="shared" si="11"/>
        <v>7525.508099708336</v>
      </c>
      <c r="H133" s="243">
        <f t="shared" si="7"/>
        <v>155.13248361249998</v>
      </c>
      <c r="I133" s="243">
        <f t="shared" si="7"/>
        <v>154.99762572916666</v>
      </c>
      <c r="K133" s="242">
        <f>K119</f>
        <v>2011</v>
      </c>
    </row>
    <row r="134" spans="1:20" x14ac:dyDescent="0.2">
      <c r="A134" s="3">
        <f>A122+365</f>
        <v>44562</v>
      </c>
      <c r="B134" s="120">
        <f t="shared" si="12"/>
        <v>2022</v>
      </c>
      <c r="C134" s="240">
        <f>C122*(1+$S$7)</f>
        <v>776504.50669770013</v>
      </c>
      <c r="D134" s="241">
        <f>D122*(1+$S$7)</f>
        <v>175.00116780152709</v>
      </c>
      <c r="E134" s="243">
        <v>175.57028482723447</v>
      </c>
      <c r="F134" s="241">
        <f>F122*(1+$S$13)</f>
        <v>7565.2699152001815</v>
      </c>
      <c r="G134" s="241">
        <f t="shared" ref="G134:I134" si="14">G122*(1+$S$13)</f>
        <v>7537.7986829445881</v>
      </c>
      <c r="H134" s="241">
        <f t="shared" si="14"/>
        <v>164.54136639939682</v>
      </c>
      <c r="I134" s="241">
        <f t="shared" si="14"/>
        <v>163.37155836324268</v>
      </c>
      <c r="K134" s="242">
        <f t="shared" ref="K134:K144" si="15">K120</f>
        <v>2012</v>
      </c>
      <c r="L134" s="112">
        <f>L120/L119-1</f>
        <v>1.4390268412039386E-2</v>
      </c>
      <c r="M134" s="112">
        <f t="shared" ref="M134:R134" si="16">M120/M119-1</f>
        <v>1.4390268412039164E-2</v>
      </c>
      <c r="N134" s="112">
        <f t="shared" si="16"/>
        <v>1.9867678954840207E-2</v>
      </c>
      <c r="O134" s="112">
        <f t="shared" si="16"/>
        <v>6.9160972162707335E-3</v>
      </c>
      <c r="P134" s="112">
        <f t="shared" si="16"/>
        <v>6.6499957403942656E-3</v>
      </c>
      <c r="Q134" s="112">
        <f t="shared" si="16"/>
        <v>3.5111487440022682E-2</v>
      </c>
      <c r="R134" s="112">
        <f t="shared" si="16"/>
        <v>3.6347217518907682E-2</v>
      </c>
    </row>
    <row r="135" spans="1:20" x14ac:dyDescent="0.2">
      <c r="A135" s="3">
        <f t="shared" ref="A135:A145" si="17">A123+365</f>
        <v>44593</v>
      </c>
      <c r="B135" s="120">
        <f t="shared" si="12"/>
        <v>2022</v>
      </c>
      <c r="C135" s="240">
        <f t="shared" ref="C135:C145" si="18">C123*(1+$S$7)</f>
        <v>776504.50669770013</v>
      </c>
      <c r="D135" s="241">
        <f t="shared" ref="D135" si="19">D123*(1+$S$7)</f>
        <v>175.00116780152709</v>
      </c>
      <c r="E135" s="241">
        <f t="shared" ref="E135:E145" si="20">E134*(1+$S$7)^(1/12)</f>
        <v>176.22951827135108</v>
      </c>
      <c r="F135" s="241">
        <f t="shared" ref="F135:I145" si="21">F123*(1+$S$13)</f>
        <v>7597.208094282807</v>
      </c>
      <c r="G135" s="241">
        <f t="shared" si="21"/>
        <v>7530.7928888232391</v>
      </c>
      <c r="H135" s="241">
        <f t="shared" si="21"/>
        <v>166.08676216145935</v>
      </c>
      <c r="I135" s="241">
        <f t="shared" si="21"/>
        <v>163.57761113151776</v>
      </c>
      <c r="K135" s="242">
        <f t="shared" si="15"/>
        <v>2013</v>
      </c>
      <c r="L135" s="112">
        <f t="shared" ref="L135:R144" si="22">L121/L120-1</f>
        <v>1.4162974610528956E-2</v>
      </c>
      <c r="M135" s="112">
        <f t="shared" si="22"/>
        <v>1.4162974610529178E-2</v>
      </c>
      <c r="N135" s="112">
        <f t="shared" si="22"/>
        <v>1.4266345190591778E-2</v>
      </c>
      <c r="O135" s="112">
        <f t="shared" si="22"/>
        <v>1.7580861510742007E-2</v>
      </c>
      <c r="P135" s="112">
        <f t="shared" si="22"/>
        <v>1.7992443099225763E-2</v>
      </c>
      <c r="Q135" s="112">
        <f t="shared" si="22"/>
        <v>1.0961444074821358E-2</v>
      </c>
      <c r="R135" s="112">
        <f t="shared" si="22"/>
        <v>8.9314889445593071E-3</v>
      </c>
    </row>
    <row r="136" spans="1:20" x14ac:dyDescent="0.2">
      <c r="A136" s="3">
        <f t="shared" si="17"/>
        <v>44622</v>
      </c>
      <c r="B136" s="120">
        <f t="shared" si="12"/>
        <v>2022</v>
      </c>
      <c r="C136" s="240">
        <f t="shared" si="18"/>
        <v>776504.50669770013</v>
      </c>
      <c r="D136" s="241">
        <f t="shared" ref="D136" si="23">D124*(1+$S$7)</f>
        <v>175.00116780152709</v>
      </c>
      <c r="E136" s="241">
        <f t="shared" si="20"/>
        <v>176.89122701323387</v>
      </c>
      <c r="F136" s="241">
        <f t="shared" si="21"/>
        <v>7622.2435056282202</v>
      </c>
      <c r="G136" s="241">
        <f t="shared" si="21"/>
        <v>7511.939060526076</v>
      </c>
      <c r="H136" s="241">
        <f t="shared" si="21"/>
        <v>167.94123707593437</v>
      </c>
      <c r="I136" s="241">
        <f t="shared" si="21"/>
        <v>164.81392774116767</v>
      </c>
      <c r="K136" s="242">
        <f t="shared" si="15"/>
        <v>2014</v>
      </c>
      <c r="L136" s="112">
        <f t="shared" si="22"/>
        <v>2.4729437817674782E-2</v>
      </c>
      <c r="M136" s="112">
        <f t="shared" si="22"/>
        <v>2.4729437817674116E-2</v>
      </c>
      <c r="N136" s="112">
        <f t="shared" si="22"/>
        <v>1.9923345982576279E-2</v>
      </c>
      <c r="O136" s="112">
        <f t="shared" si="22"/>
        <v>8.7125376167633828E-3</v>
      </c>
      <c r="P136" s="112">
        <f t="shared" si="22"/>
        <v>8.5554201239423922E-3</v>
      </c>
      <c r="Q136" s="112">
        <f t="shared" si="22"/>
        <v>3.6141978638475347E-3</v>
      </c>
      <c r="R136" s="112">
        <f t="shared" si="22"/>
        <v>4.4262118104283488E-3</v>
      </c>
    </row>
    <row r="137" spans="1:20" x14ac:dyDescent="0.2">
      <c r="A137" s="3">
        <f t="shared" si="17"/>
        <v>44653</v>
      </c>
      <c r="B137" s="120">
        <f t="shared" si="12"/>
        <v>2022</v>
      </c>
      <c r="C137" s="240">
        <f t="shared" si="18"/>
        <v>776504.50669770013</v>
      </c>
      <c r="D137" s="241">
        <f t="shared" ref="D137" si="24">D125*(1+$S$7)</f>
        <v>175.00116780152709</v>
      </c>
      <c r="E137" s="241">
        <f t="shared" si="20"/>
        <v>177.55542034716106</v>
      </c>
      <c r="F137" s="241">
        <f t="shared" si="21"/>
        <v>7647.3819433577692</v>
      </c>
      <c r="G137" s="241">
        <f t="shared" si="21"/>
        <v>7549.1315851997124</v>
      </c>
      <c r="H137" s="241">
        <f t="shared" si="21"/>
        <v>169.28058006972188</v>
      </c>
      <c r="I137" s="241">
        <f t="shared" si="21"/>
        <v>167.38958734460522</v>
      </c>
      <c r="K137" s="242">
        <f t="shared" si="15"/>
        <v>2015</v>
      </c>
      <c r="L137" s="112">
        <f t="shared" si="22"/>
        <v>2.6555281625893379E-2</v>
      </c>
      <c r="M137" s="112">
        <f t="shared" si="22"/>
        <v>2.6555281625893601E-2</v>
      </c>
      <c r="N137" s="112">
        <f t="shared" si="22"/>
        <v>2.5729498011256791E-2</v>
      </c>
      <c r="O137" s="112">
        <f t="shared" si="22"/>
        <v>6.478266772697916E-3</v>
      </c>
      <c r="P137" s="112">
        <f t="shared" si="22"/>
        <v>6.2124299510644132E-3</v>
      </c>
      <c r="Q137" s="112">
        <f t="shared" si="22"/>
        <v>2.4187046492878173E-2</v>
      </c>
      <c r="R137" s="112">
        <f t="shared" si="22"/>
        <v>2.1979793637145528E-2</v>
      </c>
    </row>
    <row r="138" spans="1:20" x14ac:dyDescent="0.2">
      <c r="A138" s="3">
        <f t="shared" si="17"/>
        <v>44683</v>
      </c>
      <c r="B138" s="120">
        <f t="shared" si="12"/>
        <v>2022</v>
      </c>
      <c r="C138" s="240">
        <f t="shared" si="18"/>
        <v>776504.50669770013</v>
      </c>
      <c r="D138" s="241">
        <f t="shared" ref="D138" si="25">D126*(1+$S$7)</f>
        <v>175.00116780152709</v>
      </c>
      <c r="E138" s="241">
        <f t="shared" si="20"/>
        <v>178.22210760230911</v>
      </c>
      <c r="F138" s="241">
        <f t="shared" si="21"/>
        <v>7665.1024814294196</v>
      </c>
      <c r="G138" s="241">
        <f t="shared" si="21"/>
        <v>7623.9287400835383</v>
      </c>
      <c r="H138" s="241">
        <f t="shared" si="21"/>
        <v>169.28058006972188</v>
      </c>
      <c r="I138" s="241">
        <f t="shared" si="21"/>
        <v>169.03800949080519</v>
      </c>
      <c r="K138" s="242">
        <f t="shared" si="15"/>
        <v>2016</v>
      </c>
      <c r="L138" s="112">
        <f t="shared" si="22"/>
        <v>2.2493592998948708E-2</v>
      </c>
      <c r="M138" s="112">
        <f t="shared" si="22"/>
        <v>2.2493592998949152E-2</v>
      </c>
      <c r="N138" s="112">
        <f t="shared" si="22"/>
        <v>2.4328802430347851E-2</v>
      </c>
      <c r="O138" s="112">
        <f t="shared" si="22"/>
        <v>1.0690678537704112E-2</v>
      </c>
      <c r="P138" s="112">
        <f t="shared" si="22"/>
        <v>1.0759152085812795E-2</v>
      </c>
      <c r="Q138" s="112">
        <f t="shared" si="22"/>
        <v>3.1435318813959556E-2</v>
      </c>
      <c r="R138" s="112">
        <f t="shared" si="22"/>
        <v>3.3391176315928028E-2</v>
      </c>
    </row>
    <row r="139" spans="1:20" x14ac:dyDescent="0.2">
      <c r="A139" s="3">
        <f t="shared" si="17"/>
        <v>44714</v>
      </c>
      <c r="B139" s="120">
        <f t="shared" si="12"/>
        <v>2022</v>
      </c>
      <c r="C139" s="240">
        <f t="shared" si="18"/>
        <v>776504.50669770013</v>
      </c>
      <c r="D139" s="241">
        <f t="shared" ref="D139" si="26">D127*(1+$S$7)</f>
        <v>175.00116780152709</v>
      </c>
      <c r="E139" s="241">
        <f t="shared" si="20"/>
        <v>178.89129814288381</v>
      </c>
      <c r="F139" s="241">
        <f t="shared" si="21"/>
        <v>7683.3381514217572</v>
      </c>
      <c r="G139" s="241">
        <f t="shared" si="21"/>
        <v>7722.0098577824392</v>
      </c>
      <c r="H139" s="241">
        <f t="shared" si="21"/>
        <v>166.60189408214683</v>
      </c>
      <c r="I139" s="241">
        <f t="shared" si="21"/>
        <v>167.80169288115522</v>
      </c>
      <c r="K139" s="242">
        <f t="shared" si="15"/>
        <v>2017</v>
      </c>
      <c r="L139" s="112">
        <f t="shared" si="22"/>
        <v>2.7539311554027668E-2</v>
      </c>
      <c r="M139" s="112">
        <f t="shared" si="22"/>
        <v>2.753931155402789E-2</v>
      </c>
      <c r="N139" s="112">
        <f t="shared" si="22"/>
        <v>2.5254528414879518E-2</v>
      </c>
      <c r="O139" s="112">
        <f t="shared" si="22"/>
        <v>1.7192765858053738E-2</v>
      </c>
      <c r="P139" s="112">
        <f t="shared" si="22"/>
        <v>1.7304815766106429E-2</v>
      </c>
      <c r="Q139" s="112">
        <f t="shared" si="22"/>
        <v>-1.1295410603439304E-2</v>
      </c>
      <c r="R139" s="112">
        <f t="shared" si="22"/>
        <v>-9.9226541827803771E-3</v>
      </c>
    </row>
    <row r="140" spans="1:20" x14ac:dyDescent="0.2">
      <c r="A140" s="3">
        <f t="shared" si="17"/>
        <v>44744</v>
      </c>
      <c r="B140" s="120">
        <f t="shared" si="12"/>
        <v>2022</v>
      </c>
      <c r="C140" s="240">
        <f t="shared" si="18"/>
        <v>776504.50669770013</v>
      </c>
      <c r="D140" s="241">
        <f t="shared" ref="D140" si="27">D128*(1+$S$7)</f>
        <v>175.00116780152709</v>
      </c>
      <c r="E140" s="241">
        <f t="shared" si="20"/>
        <v>179.56300136825175</v>
      </c>
      <c r="F140" s="241">
        <f t="shared" si="21"/>
        <v>7686.0168374093319</v>
      </c>
      <c r="G140" s="241">
        <f t="shared" si="21"/>
        <v>7775.8926566863511</v>
      </c>
      <c r="H140" s="241">
        <f t="shared" si="21"/>
        <v>163.51110255802186</v>
      </c>
      <c r="I140" s="241">
        <f t="shared" si="21"/>
        <v>163.78366389979271</v>
      </c>
      <c r="K140" s="242">
        <f t="shared" si="15"/>
        <v>2018</v>
      </c>
      <c r="L140" s="112">
        <f t="shared" si="22"/>
        <v>2.9129327994530607E-2</v>
      </c>
      <c r="M140" s="112">
        <f t="shared" si="22"/>
        <v>2.9129327994530385E-2</v>
      </c>
      <c r="N140" s="112">
        <f t="shared" si="22"/>
        <v>2.8411281647910513E-2</v>
      </c>
      <c r="O140" s="112">
        <f t="shared" si="22"/>
        <v>1.7054474265984831E-2</v>
      </c>
      <c r="P140" s="112">
        <f t="shared" si="22"/>
        <v>1.7098322972488589E-2</v>
      </c>
      <c r="Q140" s="112">
        <f t="shared" si="22"/>
        <v>1.3688760806916056E-2</v>
      </c>
      <c r="R140" s="112">
        <f t="shared" si="22"/>
        <v>1.300303232769684E-2</v>
      </c>
    </row>
    <row r="141" spans="1:20" x14ac:dyDescent="0.2">
      <c r="A141" s="3">
        <f t="shared" si="17"/>
        <v>44775</v>
      </c>
      <c r="B141" s="120">
        <f t="shared" si="12"/>
        <v>2022</v>
      </c>
      <c r="C141" s="240">
        <f t="shared" si="18"/>
        <v>776504.50669770013</v>
      </c>
      <c r="D141" s="241">
        <f t="shared" ref="D141" si="28">D129*(1+$S$7)</f>
        <v>175.00116780152709</v>
      </c>
      <c r="E141" s="241">
        <f t="shared" si="20"/>
        <v>180.23722671307243</v>
      </c>
      <c r="F141" s="241">
        <f t="shared" si="21"/>
        <v>7703.2222435602944</v>
      </c>
      <c r="G141" s="241">
        <f t="shared" si="21"/>
        <v>7792.8920100690384</v>
      </c>
      <c r="H141" s="241">
        <f t="shared" si="21"/>
        <v>161.65662764354684</v>
      </c>
      <c r="I141" s="241">
        <f t="shared" si="21"/>
        <v>162.03221536945523</v>
      </c>
      <c r="K141" s="242">
        <f t="shared" si="15"/>
        <v>2019</v>
      </c>
      <c r="L141" s="112">
        <f t="shared" si="22"/>
        <v>2.070256079007593E-2</v>
      </c>
      <c r="M141" s="112">
        <f t="shared" si="22"/>
        <v>2.070256079007482E-2</v>
      </c>
      <c r="N141" s="112">
        <f t="shared" si="22"/>
        <v>2.4504835336654818E-2</v>
      </c>
      <c r="O141" s="112">
        <f t="shared" si="22"/>
        <v>2.7268245257546342E-2</v>
      </c>
      <c r="P141" s="112">
        <f t="shared" si="22"/>
        <v>2.7560451914925288E-2</v>
      </c>
      <c r="Q141" s="112">
        <f t="shared" si="22"/>
        <v>4.0359427353031219E-2</v>
      </c>
      <c r="R141" s="112">
        <f t="shared" si="22"/>
        <v>3.952308472856414E-2</v>
      </c>
    </row>
    <row r="142" spans="1:20" x14ac:dyDescent="0.2">
      <c r="A142" s="3">
        <f t="shared" si="17"/>
        <v>44806</v>
      </c>
      <c r="B142" s="120">
        <f t="shared" si="12"/>
        <v>2022</v>
      </c>
      <c r="C142" s="240">
        <f t="shared" si="18"/>
        <v>776504.50669770013</v>
      </c>
      <c r="D142" s="241">
        <f t="shared" ref="D142" si="29">D130*(1+$S$7)</f>
        <v>175.00116780152709</v>
      </c>
      <c r="E142" s="241">
        <f t="shared" si="20"/>
        <v>180.91398364743068</v>
      </c>
      <c r="F142" s="241">
        <f t="shared" si="21"/>
        <v>7732.7908158077571</v>
      </c>
      <c r="G142" s="241">
        <f t="shared" si="21"/>
        <v>7786.8134534049259</v>
      </c>
      <c r="H142" s="241">
        <f t="shared" si="21"/>
        <v>162.17175956423432</v>
      </c>
      <c r="I142" s="241">
        <f t="shared" si="21"/>
        <v>161.82616260118022</v>
      </c>
      <c r="K142" s="242">
        <f t="shared" si="15"/>
        <v>2020</v>
      </c>
      <c r="L142" s="112">
        <f t="shared" si="22"/>
        <v>-5.0215398987733084E-2</v>
      </c>
      <c r="M142" s="112">
        <f t="shared" si="22"/>
        <v>-5.0215398987732529E-2</v>
      </c>
      <c r="N142" s="112">
        <f t="shared" si="22"/>
        <v>-1.807178890386496E-2</v>
      </c>
      <c r="O142" s="112">
        <f t="shared" si="22"/>
        <v>-4.4162962497813485E-2</v>
      </c>
      <c r="P142" s="112">
        <f t="shared" si="22"/>
        <v>-4.4710297807083466E-2</v>
      </c>
      <c r="Q142" s="112">
        <f t="shared" si="22"/>
        <v>-0.10896403650026865</v>
      </c>
      <c r="R142" s="112">
        <f t="shared" si="22"/>
        <v>-0.1119625164722533</v>
      </c>
    </row>
    <row r="143" spans="1:20" x14ac:dyDescent="0.2">
      <c r="A143" s="3">
        <f t="shared" si="17"/>
        <v>44836</v>
      </c>
      <c r="B143" s="120">
        <f t="shared" si="12"/>
        <v>2022</v>
      </c>
      <c r="C143" s="240">
        <f t="shared" si="18"/>
        <v>776504.50669770013</v>
      </c>
      <c r="D143" s="241">
        <f t="shared" ref="D143" si="30">D131*(1+$S$7)</f>
        <v>175.00116780152709</v>
      </c>
      <c r="E143" s="241">
        <f t="shared" si="20"/>
        <v>181.59328167696972</v>
      </c>
      <c r="F143" s="241">
        <f t="shared" si="21"/>
        <v>7759.2685965310948</v>
      </c>
      <c r="G143" s="241">
        <f t="shared" si="21"/>
        <v>7790.419376849738</v>
      </c>
      <c r="H143" s="241">
        <f t="shared" si="21"/>
        <v>162.68689148492186</v>
      </c>
      <c r="I143" s="241">
        <f t="shared" si="21"/>
        <v>163.37155836324268</v>
      </c>
      <c r="K143" s="242">
        <f t="shared" si="15"/>
        <v>2021</v>
      </c>
      <c r="L143" s="112">
        <f t="shared" si="22"/>
        <v>4.5499999999999652E-2</v>
      </c>
      <c r="M143" s="112">
        <f t="shared" si="22"/>
        <v>4.5500000000000096E-2</v>
      </c>
      <c r="N143" s="112">
        <f t="shared" si="22"/>
        <v>4.5500000000000318E-2</v>
      </c>
      <c r="O143" s="112">
        <f t="shared" si="22"/>
        <v>4.5499999999999652E-2</v>
      </c>
      <c r="P143" s="112">
        <f t="shared" si="22"/>
        <v>4.550000000000054E-2</v>
      </c>
      <c r="Q143" s="112">
        <f t="shared" si="22"/>
        <v>4.5499999999999874E-2</v>
      </c>
      <c r="R143" s="112">
        <f t="shared" si="22"/>
        <v>4.5499999999999874E-2</v>
      </c>
    </row>
    <row r="144" spans="1:20" x14ac:dyDescent="0.2">
      <c r="A144" s="3">
        <f t="shared" si="17"/>
        <v>44867</v>
      </c>
      <c r="B144" s="120">
        <f t="shared" si="12"/>
        <v>2022</v>
      </c>
      <c r="C144" s="240">
        <f t="shared" si="18"/>
        <v>776504.50669770013</v>
      </c>
      <c r="D144" s="241">
        <f t="shared" ref="D144" si="31">D132*(1+$S$7)</f>
        <v>175.00116780152709</v>
      </c>
      <c r="E144" s="241">
        <f t="shared" si="20"/>
        <v>182.27513034302473</v>
      </c>
      <c r="F144" s="241">
        <f t="shared" si="21"/>
        <v>7772.9711056213828</v>
      </c>
      <c r="G144" s="241">
        <f t="shared" si="21"/>
        <v>7781.7651605821884</v>
      </c>
      <c r="H144" s="241">
        <f t="shared" si="21"/>
        <v>161.14149572285936</v>
      </c>
      <c r="I144" s="241">
        <f t="shared" si="21"/>
        <v>161.00195152808021</v>
      </c>
      <c r="K144" s="242">
        <f t="shared" si="15"/>
        <v>2022</v>
      </c>
      <c r="L144" s="112">
        <f t="shared" si="22"/>
        <v>4.6000000000000263E-2</v>
      </c>
      <c r="M144" s="112">
        <f t="shared" si="22"/>
        <v>4.5999999999999819E-2</v>
      </c>
      <c r="N144" s="112">
        <f t="shared" si="22"/>
        <v>4.6000000000000929E-2</v>
      </c>
      <c r="O144" s="112">
        <f t="shared" si="22"/>
        <v>3.4750000000000281E-2</v>
      </c>
      <c r="P144" s="112">
        <f t="shared" si="22"/>
        <v>3.4749999999999837E-2</v>
      </c>
      <c r="Q144" s="112">
        <f t="shared" si="22"/>
        <v>3.4749999999999837E-2</v>
      </c>
      <c r="R144" s="112">
        <f t="shared" si="22"/>
        <v>3.4749999999999837E-2</v>
      </c>
    </row>
    <row r="145" spans="1:18" x14ac:dyDescent="0.2">
      <c r="A145" s="3">
        <f t="shared" si="17"/>
        <v>44897</v>
      </c>
      <c r="B145" s="120">
        <f t="shared" si="12"/>
        <v>2022</v>
      </c>
      <c r="C145" s="240">
        <f t="shared" si="18"/>
        <v>776504.50669770013</v>
      </c>
      <c r="D145" s="241">
        <f t="shared" ref="D145" si="32">D133*(1+$S$7)</f>
        <v>175.00116780152709</v>
      </c>
      <c r="E145" s="241">
        <f t="shared" si="20"/>
        <v>182.95953922275672</v>
      </c>
      <c r="F145" s="241">
        <f t="shared" si="21"/>
        <v>7780.9041371999692</v>
      </c>
      <c r="G145" s="241">
        <f t="shared" si="21"/>
        <v>7787.0195061732011</v>
      </c>
      <c r="H145" s="241">
        <f t="shared" si="21"/>
        <v>160.52333741803437</v>
      </c>
      <c r="I145" s="241">
        <f t="shared" si="21"/>
        <v>160.3837932232552</v>
      </c>
      <c r="K145" s="241"/>
      <c r="L145" s="112"/>
    </row>
    <row r="146" spans="1:18" x14ac:dyDescent="0.2">
      <c r="K146">
        <v>2021</v>
      </c>
      <c r="L146" s="87">
        <f>$S$6</f>
        <v>4.5499999999999999E-2</v>
      </c>
      <c r="M146" s="87">
        <f t="shared" ref="M146:N146" si="33">$S$6</f>
        <v>4.5499999999999999E-2</v>
      </c>
      <c r="N146" s="87">
        <f t="shared" si="33"/>
        <v>4.5499999999999999E-2</v>
      </c>
      <c r="O146" s="87">
        <f>$S$12</f>
        <v>4.5499999999999999E-2</v>
      </c>
      <c r="P146" s="87">
        <f t="shared" ref="P146:R146" si="34">$S$12</f>
        <v>4.5499999999999999E-2</v>
      </c>
      <c r="Q146" s="87">
        <f t="shared" si="34"/>
        <v>4.5499999999999999E-2</v>
      </c>
      <c r="R146" s="87">
        <f t="shared" si="34"/>
        <v>4.5499999999999999E-2</v>
      </c>
    </row>
    <row r="147" spans="1:18" x14ac:dyDescent="0.2">
      <c r="K147">
        <v>2022</v>
      </c>
      <c r="L147" s="87">
        <f>$S$7</f>
        <v>4.5999999999999999E-2</v>
      </c>
      <c r="M147" s="87">
        <f t="shared" ref="M147:N147" si="35">$S$7</f>
        <v>4.5999999999999999E-2</v>
      </c>
      <c r="N147" s="87">
        <f t="shared" si="35"/>
        <v>4.5999999999999999E-2</v>
      </c>
      <c r="O147" s="87">
        <f>$S$13</f>
        <v>3.4750000000000003E-2</v>
      </c>
      <c r="P147" s="87">
        <f t="shared" ref="P147:R147" si="36">$S$13</f>
        <v>3.4750000000000003E-2</v>
      </c>
      <c r="Q147" s="87">
        <f t="shared" si="36"/>
        <v>3.4750000000000003E-2</v>
      </c>
      <c r="R147" s="87">
        <f t="shared" si="36"/>
        <v>3.4750000000000003E-2</v>
      </c>
    </row>
    <row r="148" spans="1:18" x14ac:dyDescent="0.2">
      <c r="E148" s="253" t="s">
        <v>227</v>
      </c>
      <c r="F148" s="253"/>
    </row>
    <row r="149" spans="1:18" x14ac:dyDescent="0.2">
      <c r="E149" s="253"/>
      <c r="F149" s="253"/>
      <c r="K149" s="124" t="s">
        <v>223</v>
      </c>
      <c r="L149" s="87">
        <f>L146-L143</f>
        <v>3.4694469519536142E-16</v>
      </c>
      <c r="M149" s="87">
        <f t="shared" ref="M149:R149" si="37">M146-M143</f>
        <v>-9.7144514654701197E-17</v>
      </c>
      <c r="N149" s="87">
        <f t="shared" si="37"/>
        <v>-3.1918911957973251E-16</v>
      </c>
      <c r="O149" s="87">
        <f t="shared" si="37"/>
        <v>3.4694469519536142E-16</v>
      </c>
      <c r="P149" s="87">
        <f t="shared" si="37"/>
        <v>-5.4123372450476381E-16</v>
      </c>
      <c r="Q149" s="87">
        <f t="shared" si="37"/>
        <v>1.2490009027033011E-16</v>
      </c>
      <c r="R149" s="87">
        <f t="shared" si="37"/>
        <v>1.2490009027033011E-16</v>
      </c>
    </row>
    <row r="150" spans="1:18" x14ac:dyDescent="0.2">
      <c r="E150" s="253"/>
      <c r="F150" s="253"/>
      <c r="K150" s="124" t="s">
        <v>224</v>
      </c>
      <c r="L150" s="87">
        <f>L147-L144</f>
        <v>-2.6367796834847468E-16</v>
      </c>
      <c r="M150" s="87">
        <f t="shared" ref="M150:R150" si="38">M147-M144</f>
        <v>1.8041124150158794E-16</v>
      </c>
      <c r="N150" s="87">
        <f t="shared" si="38"/>
        <v>-9.298117831235686E-16</v>
      </c>
      <c r="O150" s="87">
        <f t="shared" si="38"/>
        <v>-2.7755575615628914E-16</v>
      </c>
      <c r="P150" s="87">
        <f t="shared" si="38"/>
        <v>1.6653345369377348E-16</v>
      </c>
      <c r="Q150" s="87">
        <f t="shared" si="38"/>
        <v>1.6653345369377348E-16</v>
      </c>
      <c r="R150" s="87">
        <f t="shared" si="38"/>
        <v>1.6653345369377348E-16</v>
      </c>
    </row>
    <row r="151" spans="1:18" x14ac:dyDescent="0.2">
      <c r="E151" s="253"/>
      <c r="F151" s="253"/>
    </row>
    <row r="152" spans="1:18" x14ac:dyDescent="0.2">
      <c r="E152" s="253"/>
      <c r="F152" s="253"/>
      <c r="N152" s="124" t="s">
        <v>225</v>
      </c>
      <c r="O152" s="236">
        <v>27.22274061666424</v>
      </c>
      <c r="P152" s="236">
        <v>22.976959308334699</v>
      </c>
      <c r="Q152" s="236">
        <v>-10.944354987500063</v>
      </c>
      <c r="R152" s="236">
        <v>-11.477478670833367</v>
      </c>
    </row>
    <row r="154" spans="1:18" ht="12.75" customHeight="1" x14ac:dyDescent="0.2">
      <c r="N154" s="252" t="s">
        <v>226</v>
      </c>
      <c r="O154" s="252"/>
      <c r="P154" s="252"/>
      <c r="Q154" s="252"/>
      <c r="R154" s="252"/>
    </row>
    <row r="155" spans="1:18" x14ac:dyDescent="0.2">
      <c r="N155" s="252"/>
      <c r="O155" s="252"/>
      <c r="P155" s="252"/>
      <c r="Q155" s="252"/>
      <c r="R155" s="252"/>
    </row>
    <row r="156" spans="1:18" x14ac:dyDescent="0.2">
      <c r="N156" s="252"/>
      <c r="O156" s="252"/>
      <c r="P156" s="252"/>
      <c r="Q156" s="252"/>
      <c r="R156" s="252"/>
    </row>
  </sheetData>
  <mergeCells count="2">
    <mergeCell ref="N154:R156"/>
    <mergeCell ref="E148:F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Summary</vt:lpstr>
      <vt:lpstr>Data</vt:lpstr>
      <vt:lpstr>Rate Class Energy Model</vt:lpstr>
      <vt:lpstr>Rate Class Energy Model (WN)</vt:lpstr>
      <vt:lpstr>Rate Class Load Model</vt:lpstr>
      <vt:lpstr>Rate Class Customer Model</vt:lpstr>
      <vt:lpstr>Purchased Power Model</vt:lpstr>
      <vt:lpstr>Purchased Power Model (WN)</vt:lpstr>
      <vt:lpstr>Economic</vt:lpstr>
      <vt:lpstr>Purchases</vt:lpstr>
      <vt:lpstr>CDM</vt:lpstr>
      <vt:lpstr>Weather</vt:lpstr>
      <vt:lpstr>'Rate Class Customer Model'!Print_Area</vt:lpstr>
      <vt:lpstr>'Rate Class Energy Model'!Print_Area</vt:lpstr>
      <vt:lpstr>'Rate Class Energy Model (WN)'!Print_Area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Andrew Blair</cp:lastModifiedBy>
  <cp:lastPrinted>2016-10-22T13:02:58Z</cp:lastPrinted>
  <dcterms:created xsi:type="dcterms:W3CDTF">2008-02-06T18:24:44Z</dcterms:created>
  <dcterms:modified xsi:type="dcterms:W3CDTF">2022-02-04T16:53:16Z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