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ams.hydroone.com/sites/ra/ra/Proceedings 2022/Deferral Account/Working Folder/"/>
    </mc:Choice>
  </mc:AlternateContent>
  <bookViews>
    <workbookView xWindow="-110" yWindow="-110" windowWidth="23260" windowHeight="12580"/>
  </bookViews>
  <sheets>
    <sheet name="Summary" sheetId="8" r:id="rId1"/>
    <sheet name="5 Year Loan Method" sheetId="9" r:id="rId2"/>
    <sheet name="5 Year NBV Method" sheetId="10" r:id="rId3"/>
    <sheet name="Assumptions" sheetId="6" r:id="rId4"/>
  </sheets>
  <definedNames>
    <definedName name="_xlnm.Print_Area" localSheetId="1">'5 Year Loan Method'!$A$2:$F$54</definedName>
    <definedName name="_xlnm.Print_Area" localSheetId="3">Assumptions!$A$1:$B$26</definedName>
    <definedName name="_xlnm.Print_Area" localSheetId="0">Summary!$A$1:$B$11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6" i="10" l="1"/>
  <c r="F48" i="10" l="1"/>
  <c r="E7" i="9" l="1"/>
  <c r="E28" i="9"/>
  <c r="E31" i="9" s="1"/>
  <c r="F28" i="9"/>
  <c r="E40" i="9"/>
  <c r="F40" i="9"/>
  <c r="E45" i="9"/>
  <c r="F45" i="9"/>
  <c r="E30" i="10"/>
  <c r="F30" i="10"/>
  <c r="F33" i="10" s="1"/>
  <c r="F35" i="10"/>
  <c r="E48" i="10"/>
  <c r="F31" i="9" l="1"/>
  <c r="E33" i="10"/>
  <c r="B4" i="6"/>
  <c r="D35" i="10" l="1"/>
  <c r="B32" i="10"/>
  <c r="D30" i="10"/>
  <c r="D33" i="10" s="1"/>
  <c r="C30" i="10"/>
  <c r="D45" i="9"/>
  <c r="C45" i="9"/>
  <c r="B45" i="9"/>
  <c r="D40" i="9"/>
  <c r="C40" i="9"/>
  <c r="B40" i="9"/>
  <c r="D33" i="9"/>
  <c r="B30" i="9"/>
  <c r="D28" i="9"/>
  <c r="D31" i="9" s="1"/>
  <c r="C28" i="9"/>
  <c r="C31" i="9" s="1"/>
  <c r="B28" i="9"/>
  <c r="C33" i="10" l="1"/>
  <c r="B31" i="9"/>
  <c r="B32" i="9" s="1"/>
  <c r="B34" i="9" s="1"/>
  <c r="B5" i="6"/>
  <c r="B6" i="10" l="1"/>
  <c r="B28" i="10" s="1"/>
  <c r="B6" i="9"/>
  <c r="C7" i="9" s="1"/>
  <c r="B43" i="9"/>
  <c r="B35" i="9"/>
  <c r="C29" i="9" s="1"/>
  <c r="B8" i="10" l="1"/>
  <c r="B8" i="9"/>
  <c r="B9" i="9" s="1"/>
  <c r="C30" i="9"/>
  <c r="C32" i="9" s="1"/>
  <c r="C34" i="9" s="1"/>
  <c r="C43" i="9" s="1"/>
  <c r="B13" i="10" l="1"/>
  <c r="B40" i="10" s="1"/>
  <c r="B16" i="10"/>
  <c r="C5" i="10"/>
  <c r="B11" i="9"/>
  <c r="B39" i="9" s="1"/>
  <c r="B41" i="9" s="1"/>
  <c r="C5" i="9"/>
  <c r="C8" i="9" s="1"/>
  <c r="D5" i="9" s="1"/>
  <c r="B29" i="10"/>
  <c r="B30" i="10" s="1"/>
  <c r="B33" i="10" s="1"/>
  <c r="B34" i="10" s="1"/>
  <c r="B36" i="10" s="1"/>
  <c r="B37" i="10" s="1"/>
  <c r="C35" i="9"/>
  <c r="D29" i="9" s="1"/>
  <c r="C31" i="10" l="1"/>
  <c r="C32" i="10" s="1"/>
  <c r="C34" i="10" s="1"/>
  <c r="C36" i="10" s="1"/>
  <c r="C11" i="9"/>
  <c r="C39" i="9" s="1"/>
  <c r="C41" i="9" s="1"/>
  <c r="B20" i="9"/>
  <c r="B19" i="9"/>
  <c r="B18" i="9"/>
  <c r="C48" i="10"/>
  <c r="C8" i="10"/>
  <c r="C13" i="10" s="1"/>
  <c r="C40" i="10" s="1"/>
  <c r="B45" i="10"/>
  <c r="B9" i="10"/>
  <c r="B11" i="10" s="1"/>
  <c r="B17" i="10"/>
  <c r="B49" i="10" s="1"/>
  <c r="C9" i="9"/>
  <c r="C19" i="9" s="1"/>
  <c r="D8" i="9"/>
  <c r="E5" i="9" s="1"/>
  <c r="D30" i="9"/>
  <c r="D32" i="9" s="1"/>
  <c r="D34" i="9" s="1"/>
  <c r="D43" i="9" s="1"/>
  <c r="C37" i="10" l="1"/>
  <c r="D31" i="10" s="1"/>
  <c r="D32" i="10" s="1"/>
  <c r="D34" i="10" s="1"/>
  <c r="D36" i="10" s="1"/>
  <c r="D37" i="10" s="1"/>
  <c r="E31" i="10" s="1"/>
  <c r="E32" i="10" s="1"/>
  <c r="E34" i="10" s="1"/>
  <c r="E36" i="10" s="1"/>
  <c r="C45" i="10"/>
  <c r="E8" i="9"/>
  <c r="E9" i="9" s="1"/>
  <c r="C18" i="9"/>
  <c r="C20" i="9"/>
  <c r="D5" i="10"/>
  <c r="D35" i="9"/>
  <c r="E29" i="9" s="1"/>
  <c r="D48" i="10"/>
  <c r="C10" i="10"/>
  <c r="B44" i="9"/>
  <c r="B21" i="9"/>
  <c r="B51" i="9" s="1"/>
  <c r="D11" i="9"/>
  <c r="D39" i="9" s="1"/>
  <c r="D9" i="9"/>
  <c r="E30" i="9" l="1"/>
  <c r="E32" i="9" s="1"/>
  <c r="E34" i="9" s="1"/>
  <c r="E43" i="9" s="1"/>
  <c r="D8" i="10"/>
  <c r="D13" i="10" s="1"/>
  <c r="D40" i="10" s="1"/>
  <c r="B21" i="10"/>
  <c r="B20" i="10"/>
  <c r="B22" i="10"/>
  <c r="D45" i="10"/>
  <c r="E18" i="9"/>
  <c r="E19" i="9"/>
  <c r="E20" i="9"/>
  <c r="E11" i="9"/>
  <c r="E39" i="9" s="1"/>
  <c r="E41" i="9" s="1"/>
  <c r="F5" i="9"/>
  <c r="E45" i="10"/>
  <c r="E5" i="10"/>
  <c r="E37" i="10"/>
  <c r="F31" i="10" s="1"/>
  <c r="F32" i="10" s="1"/>
  <c r="C21" i="9"/>
  <c r="C51" i="9" s="1"/>
  <c r="C44" i="9"/>
  <c r="C46" i="9" s="1"/>
  <c r="C47" i="9" s="1"/>
  <c r="C48" i="9" s="1"/>
  <c r="C49" i="9" s="1"/>
  <c r="C17" i="10"/>
  <c r="C49" i="10" s="1"/>
  <c r="C9" i="10"/>
  <c r="D10" i="10" s="1"/>
  <c r="B46" i="9"/>
  <c r="B47" i="9" s="1"/>
  <c r="B48" i="9" s="1"/>
  <c r="B49" i="9" s="1"/>
  <c r="B52" i="9" s="1"/>
  <c r="B53" i="9" s="1"/>
  <c r="B54" i="9" s="1"/>
  <c r="D41" i="9"/>
  <c r="D19" i="9"/>
  <c r="D20" i="9"/>
  <c r="D18" i="9"/>
  <c r="D16" i="10" l="1"/>
  <c r="D9" i="10" s="1"/>
  <c r="D11" i="10" s="1"/>
  <c r="E35" i="9"/>
  <c r="F29" i="9" s="1"/>
  <c r="C11" i="10"/>
  <c r="F8" i="9"/>
  <c r="F11" i="9" s="1"/>
  <c r="F39" i="9" s="1"/>
  <c r="F41" i="9" s="1"/>
  <c r="E21" i="9"/>
  <c r="E51" i="9" s="1"/>
  <c r="E44" i="9"/>
  <c r="E8" i="10"/>
  <c r="E13" i="10" s="1"/>
  <c r="E40" i="10" s="1"/>
  <c r="F34" i="10"/>
  <c r="F36" i="10" s="1"/>
  <c r="C52" i="9"/>
  <c r="C53" i="9" s="1"/>
  <c r="C54" i="9" s="1"/>
  <c r="B23" i="10"/>
  <c r="B42" i="10"/>
  <c r="D44" i="9"/>
  <c r="D21" i="9"/>
  <c r="D51" i="9" s="1"/>
  <c r="D17" i="10" l="1"/>
  <c r="D49" i="10" s="1"/>
  <c r="E10" i="10"/>
  <c r="F9" i="9"/>
  <c r="F30" i="9"/>
  <c r="F32" i="9" s="1"/>
  <c r="F34" i="9" s="1"/>
  <c r="F43" i="9" s="1"/>
  <c r="E16" i="10"/>
  <c r="C21" i="10"/>
  <c r="C20" i="10"/>
  <c r="C22" i="10"/>
  <c r="D21" i="10"/>
  <c r="D22" i="10"/>
  <c r="D20" i="10"/>
  <c r="E46" i="9"/>
  <c r="E47" i="9" s="1"/>
  <c r="E48" i="9" s="1"/>
  <c r="E49" i="9" s="1"/>
  <c r="E52" i="9" s="1"/>
  <c r="E53" i="9" s="1"/>
  <c r="E54" i="9" s="1"/>
  <c r="F18" i="9"/>
  <c r="F20" i="9"/>
  <c r="F19" i="9"/>
  <c r="F45" i="10"/>
  <c r="F37" i="10"/>
  <c r="F5" i="10"/>
  <c r="B43" i="10"/>
  <c r="B46" i="10" s="1"/>
  <c r="B47" i="10" s="1"/>
  <c r="B50" i="10" s="1"/>
  <c r="B53" i="10"/>
  <c r="D46" i="9"/>
  <c r="D47" i="9" s="1"/>
  <c r="D48" i="9" s="1"/>
  <c r="D49" i="9" s="1"/>
  <c r="D52" i="9" s="1"/>
  <c r="F35" i="9" l="1"/>
  <c r="F21" i="9"/>
  <c r="F51" i="9" s="1"/>
  <c r="F44" i="9"/>
  <c r="F8" i="10"/>
  <c r="F13" i="10" s="1"/>
  <c r="E9" i="10"/>
  <c r="E11" i="10" s="1"/>
  <c r="E17" i="10"/>
  <c r="E49" i="10" s="1"/>
  <c r="B54" i="10"/>
  <c r="B55" i="10" s="1"/>
  <c r="B56" i="10" s="1"/>
  <c r="C42" i="10"/>
  <c r="C23" i="10"/>
  <c r="D23" i="10"/>
  <c r="D42" i="10"/>
  <c r="D53" i="9"/>
  <c r="D54" i="9" s="1"/>
  <c r="F16" i="10" l="1"/>
  <c r="F46" i="9"/>
  <c r="F47" i="9" s="1"/>
  <c r="F48" i="9" s="1"/>
  <c r="F49" i="9" s="1"/>
  <c r="F52" i="9" s="1"/>
  <c r="F40" i="10"/>
  <c r="F10" i="10"/>
  <c r="C53" i="10"/>
  <c r="C43" i="10"/>
  <c r="C46" i="10" s="1"/>
  <c r="C47" i="10" s="1"/>
  <c r="C50" i="10" s="1"/>
  <c r="D53" i="10"/>
  <c r="D43" i="10"/>
  <c r="D46" i="10" s="1"/>
  <c r="D47" i="10" s="1"/>
  <c r="D50" i="10" s="1"/>
  <c r="E21" i="10" l="1"/>
  <c r="E20" i="10"/>
  <c r="E22" i="10"/>
  <c r="F53" i="9"/>
  <c r="F54" i="9" s="1"/>
  <c r="F17" i="10"/>
  <c r="F49" i="10" s="1"/>
  <c r="F9" i="10"/>
  <c r="C54" i="10"/>
  <c r="C55" i="10" s="1"/>
  <c r="C56" i="10" s="1"/>
  <c r="D54" i="10"/>
  <c r="D55" i="10" s="1"/>
  <c r="D56" i="10" s="1"/>
  <c r="F11" i="10" l="1"/>
  <c r="F20" i="10" s="1"/>
  <c r="B5" i="8"/>
  <c r="E42" i="10"/>
  <c r="E23" i="10"/>
  <c r="F21" i="10" l="1"/>
  <c r="F42" i="10" s="1"/>
  <c r="F22" i="10"/>
  <c r="E43" i="10"/>
  <c r="E46" i="10" s="1"/>
  <c r="E47" i="10" s="1"/>
  <c r="E50" i="10" s="1"/>
  <c r="E53" i="10"/>
  <c r="F23" i="10" l="1"/>
  <c r="E54" i="10"/>
  <c r="E55" i="10" s="1"/>
  <c r="E56" i="10" s="1"/>
  <c r="F53" i="10"/>
  <c r="F43" i="10"/>
  <c r="F46" i="10" s="1"/>
  <c r="F47" i="10" s="1"/>
  <c r="F50" i="10" s="1"/>
  <c r="F54" i="10" s="1"/>
  <c r="F55" i="10" s="1"/>
  <c r="F56" i="10" s="1"/>
  <c r="B8" i="8" s="1"/>
  <c r="B11" i="8" s="1"/>
</calcChain>
</file>

<file path=xl/sharedStrings.xml><?xml version="1.0" encoding="utf-8"?>
<sst xmlns="http://schemas.openxmlformats.org/spreadsheetml/2006/main" count="131" uniqueCount="90">
  <si>
    <t>Transformation Capital Contribution</t>
  </si>
  <si>
    <t>Calculations of Revenue Required</t>
  </si>
  <si>
    <t xml:space="preserve">Incremental Revenue </t>
  </si>
  <si>
    <t>Incremental OM&amp;A Costs</t>
  </si>
  <si>
    <t>Depreciation &amp; Amortization</t>
  </si>
  <si>
    <t>Total Expenses, excluding financing charges</t>
  </si>
  <si>
    <t>Achieved Return</t>
  </si>
  <si>
    <t>Capital Structure:</t>
  </si>
  <si>
    <t>Third-Party Long-term Debt Ratio</t>
  </si>
  <si>
    <t>Short-term Debt Ratio</t>
  </si>
  <si>
    <t>Common Equity</t>
  </si>
  <si>
    <t>Allowed Return:</t>
  </si>
  <si>
    <t>Return on Equity</t>
  </si>
  <si>
    <t>TAX INPUTS:</t>
  </si>
  <si>
    <t>Federal Income Tax Rate</t>
  </si>
  <si>
    <t>Ontario Income Tax Rate</t>
  </si>
  <si>
    <t>Income Tax rate</t>
  </si>
  <si>
    <t>Capital Contribution Outstanding</t>
  </si>
  <si>
    <t>Calculated Capital Contribution</t>
  </si>
  <si>
    <t>Capital Contribution Paid</t>
  </si>
  <si>
    <t>Prescribed Rates</t>
  </si>
  <si>
    <t>CWIP</t>
  </si>
  <si>
    <t>Interest Revenue as Per TSC 6.3.19</t>
  </si>
  <si>
    <t>Rate Base return</t>
  </si>
  <si>
    <t>ST Debt</t>
  </si>
  <si>
    <t>LT Debt</t>
  </si>
  <si>
    <t>Year 2</t>
  </si>
  <si>
    <t>Year 1</t>
  </si>
  <si>
    <t>Year 3</t>
  </si>
  <si>
    <t>Total Required Return on Rate Base</t>
  </si>
  <si>
    <t>Tax Calculations</t>
  </si>
  <si>
    <t>CCA</t>
  </si>
  <si>
    <t>Class 47 Capital Expenditures:</t>
  </si>
  <si>
    <t>Additions to UCC pool (B)**</t>
  </si>
  <si>
    <t>CCRA Capital Contribution Payments</t>
  </si>
  <si>
    <t>0</t>
  </si>
  <si>
    <t xml:space="preserve">UCC before 50% Rule Adjustment </t>
  </si>
  <si>
    <t>CCA @ specified % decling balance basis (G) = (F) x CCA Rate + (1/2 of 1st year Capex x CCA Rate for long projects)</t>
  </si>
  <si>
    <t>CCA Rate</t>
  </si>
  <si>
    <t>UCC End of Year</t>
  </si>
  <si>
    <t>Other Expenses:</t>
  </si>
  <si>
    <t>Total Costs/Expenses</t>
  </si>
  <si>
    <t>Taxable Income for Revenue Requirement purposes:</t>
  </si>
  <si>
    <t>Income Taxes @ Fed. &amp; Ont. Corporate Tax</t>
  </si>
  <si>
    <t>Income before Interest &amp; Taxes</t>
  </si>
  <si>
    <t>Income Tax Gross up</t>
  </si>
  <si>
    <t xml:space="preserve">      CCA Tax Shield</t>
  </si>
  <si>
    <t>UCC, beginning of year</t>
  </si>
  <si>
    <t>50% Rule Adjustment</t>
  </si>
  <si>
    <t>Adjusted UCC for CCA calculations</t>
  </si>
  <si>
    <t>Opening Capital Contribution Outstanding</t>
  </si>
  <si>
    <t>Tax on Capital Contribution as Per Income Tax Act</t>
  </si>
  <si>
    <t xml:space="preserve">     Tax on capital Contribution</t>
  </si>
  <si>
    <t>Depreciation</t>
  </si>
  <si>
    <t>Interest Revenue paid by Customer as Per TSC 6.3.19</t>
  </si>
  <si>
    <t>Previous Accumlated Depreciation</t>
  </si>
  <si>
    <t>Current Year Depreciation</t>
  </si>
  <si>
    <t>Rate Base</t>
  </si>
  <si>
    <t>Achieved Return to Debt &amp; Equity Holders</t>
  </si>
  <si>
    <t>Required Return (Debt &amp; Equity return)</t>
  </si>
  <si>
    <t>Economic Evaluation Capital Contribution</t>
  </si>
  <si>
    <t>UCC &amp; CCA Calculations</t>
  </si>
  <si>
    <t>Revenue Requirement Sufficiency / Deficiency Calculations</t>
  </si>
  <si>
    <t>Revenue Received from Interest Payment</t>
  </si>
  <si>
    <t>Income Taxes Payable on Capital Contribution Payment</t>
  </si>
  <si>
    <t>Income Taxes on Interest &amp; CCA</t>
  </si>
  <si>
    <t>Incremental OM&amp;A Expenditures</t>
  </si>
  <si>
    <t>Payable over 5 Years</t>
  </si>
  <si>
    <t>Net Book Value Reduced as Capital Assets Paid</t>
  </si>
  <si>
    <t>Impact to Tx Rate Payers ($k)</t>
  </si>
  <si>
    <t>Year 1 to 5</t>
  </si>
  <si>
    <t>Deferral of Capital Contribution treated as Loan (5 Year)</t>
  </si>
  <si>
    <t>Net Book Value reduced as payment received (5 Year)</t>
  </si>
  <si>
    <t>Deferral as a Loan</t>
  </si>
  <si>
    <t>Note: Actual Tax Rates and Final Capital Structure from EB-2019-0082 will be utilized for Variance Account</t>
  </si>
  <si>
    <t>Year 4</t>
  </si>
  <si>
    <t>Year 5</t>
  </si>
  <si>
    <t>Difference</t>
  </si>
  <si>
    <t>Line Capital Contribution ($k)</t>
  </si>
  <si>
    <t>Total Capital Contributions ($k)</t>
  </si>
  <si>
    <t>Loan Methodology</t>
  </si>
  <si>
    <t>NBV Methodology</t>
  </si>
  <si>
    <t xml:space="preserve">Assumptions </t>
  </si>
  <si>
    <t>Summary of impact to Transmission Rate Payers as per TSC 6.3.19</t>
  </si>
  <si>
    <t>Long Term Debt</t>
  </si>
  <si>
    <t>Sufficiency/(deficiency)</t>
  </si>
  <si>
    <t>Forecast Sufficiency / (Deficiency) impacting rates</t>
  </si>
  <si>
    <t>Forecast Sufficiency / (Deficiency) to Variance Account</t>
  </si>
  <si>
    <t xml:space="preserve">      Interest </t>
  </si>
  <si>
    <t xml:space="preserve">      Interest Expense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</si>
</sst>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7" formatCode="0.0"/>
    <numFmt numFmtId="169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name val="Helv"/>
    </font>
    <font>
      <b/>
      <sz val="8"/>
      <name val="Helv"/>
    </font>
    <font>
      <sz val="8"/>
      <name val="Helv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164" fontId="0" fillId="3" borderId="0" xfId="1" applyNumberFormat="1" applyFont="1" applyFill="1"/>
    <xf numFmtId="0" fontId="0" fillId="3" borderId="0" xfId="0" applyNumberFormat="1" applyFill="1"/>
    <xf numFmtId="164" fontId="3" fillId="2" borderId="1" xfId="1" applyNumberFormat="1" applyFont="1" applyFill="1" applyBorder="1" applyAlignment="1" applyProtection="1">
      <alignment horizontal="center"/>
    </xf>
    <xf numFmtId="10" fontId="3" fillId="2" borderId="1" xfId="2" applyNumberFormat="1" applyFont="1" applyFill="1" applyBorder="1" applyAlignment="1" applyProtection="1">
      <alignment horizontal="center"/>
    </xf>
    <xf numFmtId="0" fontId="2" fillId="3" borderId="0" xfId="0" applyFont="1" applyFill="1"/>
    <xf numFmtId="0" fontId="0" fillId="3" borderId="0" xfId="0" applyFill="1"/>
    <xf numFmtId="0" fontId="3" fillId="3" borderId="0" xfId="0" applyNumberFormat="1" applyFont="1" applyFill="1" applyAlignment="1" applyProtection="1">
      <alignment horizontal="left" indent="1"/>
    </xf>
    <xf numFmtId="164" fontId="3" fillId="3" borderId="1" xfId="1" applyNumberFormat="1" applyFont="1" applyFill="1" applyBorder="1" applyAlignment="1" applyProtection="1">
      <alignment horizontal="center"/>
    </xf>
    <xf numFmtId="0" fontId="2" fillId="3" borderId="0" xfId="0" applyNumberFormat="1" applyFont="1" applyFill="1"/>
    <xf numFmtId="10" fontId="3" fillId="3" borderId="1" xfId="2" applyNumberFormat="1" applyFont="1" applyFill="1" applyBorder="1" applyAlignment="1" applyProtection="1">
      <alignment horizontal="center"/>
    </xf>
    <xf numFmtId="0" fontId="4" fillId="3" borderId="0" xfId="0" applyNumberFormat="1" applyFont="1" applyFill="1" applyProtection="1"/>
    <xf numFmtId="0" fontId="4" fillId="3" borderId="0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0" fontId="4" fillId="3" borderId="0" xfId="0" applyNumberFormat="1" applyFont="1" applyFill="1" applyAlignment="1" applyProtection="1">
      <alignment horizontal="center"/>
    </xf>
    <xf numFmtId="164" fontId="0" fillId="3" borderId="3" xfId="1" applyNumberFormat="1" applyFont="1" applyFill="1" applyBorder="1"/>
    <xf numFmtId="164" fontId="2" fillId="3" borderId="3" xfId="1" applyNumberFormat="1" applyFont="1" applyFill="1" applyBorder="1"/>
    <xf numFmtId="164" fontId="1" fillId="3" borderId="3" xfId="1" applyNumberFormat="1" applyFont="1" applyFill="1" applyBorder="1"/>
    <xf numFmtId="0" fontId="2" fillId="3" borderId="0" xfId="0" applyFont="1" applyFill="1" applyAlignment="1">
      <alignment horizontal="center"/>
    </xf>
    <xf numFmtId="164" fontId="0" fillId="3" borderId="0" xfId="0" applyNumberFormat="1" applyFill="1"/>
    <xf numFmtId="0" fontId="2" fillId="3" borderId="0" xfId="0" applyFont="1" applyFill="1" applyAlignment="1">
      <alignment horizontal="left"/>
    </xf>
    <xf numFmtId="0" fontId="10" fillId="3" borderId="0" xfId="0" applyFont="1" applyFill="1"/>
    <xf numFmtId="165" fontId="0" fillId="3" borderId="0" xfId="3" applyNumberFormat="1" applyFont="1" applyFill="1"/>
    <xf numFmtId="165" fontId="2" fillId="3" borderId="0" xfId="3" applyNumberFormat="1" applyFont="1" applyFill="1"/>
    <xf numFmtId="165" fontId="2" fillId="3" borderId="3" xfId="3" applyNumberFormat="1" applyFont="1" applyFill="1" applyBorder="1"/>
    <xf numFmtId="165" fontId="0" fillId="3" borderId="3" xfId="3" applyNumberFormat="1" applyFont="1" applyFill="1" applyBorder="1"/>
    <xf numFmtId="165" fontId="0" fillId="3" borderId="0" xfId="3" applyNumberFormat="1" applyFont="1" applyFill="1" applyAlignment="1">
      <alignment horizontal="right"/>
    </xf>
    <xf numFmtId="165" fontId="8" fillId="3" borderId="0" xfId="3" applyNumberFormat="1" applyFont="1" applyFill="1" applyAlignment="1">
      <alignment vertical="center" wrapText="1"/>
    </xf>
    <xf numFmtId="165" fontId="2" fillId="3" borderId="0" xfId="3" applyNumberFormat="1" applyFont="1" applyFill="1" applyAlignment="1">
      <alignment wrapText="1"/>
    </xf>
    <xf numFmtId="165" fontId="0" fillId="3" borderId="0" xfId="3" applyNumberFormat="1" applyFont="1" applyFill="1" applyAlignment="1">
      <alignment wrapText="1"/>
    </xf>
    <xf numFmtId="165" fontId="7" fillId="3" borderId="2" xfId="3" applyNumberFormat="1" applyFont="1" applyFill="1" applyBorder="1" applyAlignment="1" applyProtection="1">
      <alignment wrapText="1"/>
    </xf>
    <xf numFmtId="165" fontId="5" fillId="3" borderId="2" xfId="3" applyNumberFormat="1" applyFont="1" applyFill="1" applyBorder="1" applyAlignment="1" applyProtection="1">
      <alignment wrapText="1"/>
    </xf>
    <xf numFmtId="165" fontId="2" fillId="3" borderId="0" xfId="3" applyNumberFormat="1" applyFont="1" applyFill="1" applyBorder="1" applyAlignment="1">
      <alignment wrapText="1"/>
    </xf>
    <xf numFmtId="0" fontId="6" fillId="3" borderId="2" xfId="0" applyFont="1" applyFill="1" applyBorder="1" applyAlignment="1" applyProtection="1">
      <alignment wrapText="1"/>
    </xf>
    <xf numFmtId="49" fontId="6" fillId="3" borderId="2" xfId="0" applyNumberFormat="1" applyFont="1" applyFill="1" applyBorder="1" applyAlignment="1" applyProtection="1">
      <alignment wrapText="1"/>
    </xf>
    <xf numFmtId="49" fontId="7" fillId="3" borderId="2" xfId="0" applyNumberFormat="1" applyFont="1" applyFill="1" applyBorder="1" applyAlignment="1" applyProtection="1">
      <alignment wrapText="1"/>
    </xf>
    <xf numFmtId="49" fontId="5" fillId="3" borderId="2" xfId="0" applyNumberFormat="1" applyFont="1" applyFill="1" applyBorder="1" applyAlignment="1" applyProtection="1">
      <alignment wrapText="1"/>
    </xf>
    <xf numFmtId="0" fontId="0" fillId="3" borderId="0" xfId="0" applyNumberFormat="1" applyFont="1" applyFill="1" applyAlignment="1">
      <alignment wrapText="1"/>
    </xf>
    <xf numFmtId="0" fontId="0" fillId="3" borderId="0" xfId="0" applyNumberFormat="1" applyFill="1" applyAlignment="1">
      <alignment wrapText="1"/>
    </xf>
    <xf numFmtId="165" fontId="2" fillId="3" borderId="0" xfId="3" applyNumberFormat="1" applyFont="1" applyFill="1" applyAlignment="1">
      <alignment horizontal="center"/>
    </xf>
    <xf numFmtId="0" fontId="2" fillId="3" borderId="0" xfId="0" applyFont="1" applyFill="1" applyAlignment="1">
      <alignment horizontal="center" wrapText="1"/>
    </xf>
    <xf numFmtId="164" fontId="2" fillId="3" borderId="4" xfId="0" applyNumberFormat="1" applyFont="1" applyFill="1" applyBorder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wrapText="1"/>
    </xf>
    <xf numFmtId="0" fontId="0" fillId="3" borderId="3" xfId="0" applyNumberFormat="1" applyFill="1" applyBorder="1"/>
    <xf numFmtId="0" fontId="0" fillId="3" borderId="6" xfId="0" applyNumberFormat="1" applyFill="1" applyBorder="1"/>
    <xf numFmtId="0" fontId="8" fillId="3" borderId="7" xfId="0" applyNumberFormat="1" applyFont="1" applyFill="1" applyBorder="1" applyAlignment="1">
      <alignment vertical="center" wrapText="1"/>
    </xf>
    <xf numFmtId="0" fontId="0" fillId="3" borderId="0" xfId="0" applyNumberFormat="1" applyFill="1" applyBorder="1" applyAlignment="1"/>
    <xf numFmtId="0" fontId="0" fillId="3" borderId="8" xfId="0" applyNumberFormat="1" applyFill="1" applyBorder="1" applyAlignment="1"/>
    <xf numFmtId="0" fontId="2" fillId="3" borderId="7" xfId="0" applyNumberFormat="1" applyFont="1" applyFill="1" applyBorder="1" applyAlignment="1">
      <alignment wrapText="1"/>
    </xf>
    <xf numFmtId="0" fontId="2" fillId="3" borderId="0" xfId="0" applyNumberFormat="1" applyFont="1" applyFill="1" applyBorder="1" applyAlignment="1">
      <alignment horizontal="center"/>
    </xf>
    <xf numFmtId="0" fontId="2" fillId="3" borderId="8" xfId="0" applyNumberFormat="1" applyFont="1" applyFill="1" applyBorder="1" applyAlignment="1">
      <alignment horizontal="center"/>
    </xf>
    <xf numFmtId="0" fontId="0" fillId="3" borderId="0" xfId="0" applyNumberFormat="1" applyFill="1" applyBorder="1"/>
    <xf numFmtId="0" fontId="0" fillId="3" borderId="8" xfId="0" applyNumberFormat="1" applyFill="1" applyBorder="1"/>
    <xf numFmtId="0" fontId="0" fillId="3" borderId="7" xfId="0" applyNumberFormat="1" applyFont="1" applyFill="1" applyBorder="1" applyAlignment="1">
      <alignment wrapText="1"/>
    </xf>
    <xf numFmtId="164" fontId="0" fillId="3" borderId="0" xfId="1" applyNumberFormat="1" applyFont="1" applyFill="1" applyBorder="1"/>
    <xf numFmtId="164" fontId="0" fillId="3" borderId="8" xfId="1" applyNumberFormat="1" applyFont="1" applyFill="1" applyBorder="1"/>
    <xf numFmtId="44" fontId="0" fillId="3" borderId="0" xfId="1" applyNumberFormat="1" applyFont="1" applyFill="1" applyBorder="1"/>
    <xf numFmtId="44" fontId="0" fillId="3" borderId="6" xfId="1" applyNumberFormat="1" applyFont="1" applyFill="1" applyBorder="1"/>
    <xf numFmtId="164" fontId="2" fillId="3" borderId="6" xfId="1" applyNumberFormat="1" applyFont="1" applyFill="1" applyBorder="1"/>
    <xf numFmtId="164" fontId="0" fillId="3" borderId="6" xfId="1" applyNumberFormat="1" applyFont="1" applyFill="1" applyBorder="1"/>
    <xf numFmtId="9" fontId="0" fillId="3" borderId="0" xfId="2" applyFont="1" applyFill="1" applyBorder="1"/>
    <xf numFmtId="9" fontId="0" fillId="3" borderId="8" xfId="2" applyFont="1" applyFill="1" applyBorder="1"/>
    <xf numFmtId="164" fontId="2" fillId="3" borderId="0" xfId="1" applyNumberFormat="1" applyFont="1" applyFill="1" applyBorder="1"/>
    <xf numFmtId="164" fontId="2" fillId="3" borderId="8" xfId="1" applyNumberFormat="1" applyFont="1" applyFill="1" applyBorder="1"/>
    <xf numFmtId="164" fontId="1" fillId="3" borderId="6" xfId="1" applyNumberFormat="1" applyFont="1" applyFill="1" applyBorder="1"/>
    <xf numFmtId="0" fontId="7" fillId="3" borderId="7" xfId="0" applyNumberFormat="1" applyFont="1" applyFill="1" applyBorder="1" applyAlignment="1" applyProtection="1">
      <alignment wrapText="1"/>
    </xf>
    <xf numFmtId="0" fontId="6" fillId="3" borderId="7" xfId="0" applyNumberFormat="1" applyFont="1" applyFill="1" applyBorder="1" applyAlignment="1" applyProtection="1">
      <alignment wrapText="1"/>
    </xf>
    <xf numFmtId="0" fontId="0" fillId="3" borderId="7" xfId="0" applyNumberFormat="1" applyFill="1" applyBorder="1" applyAlignment="1">
      <alignment wrapText="1"/>
    </xf>
    <xf numFmtId="0" fontId="5" fillId="3" borderId="7" xfId="0" applyNumberFormat="1" applyFont="1" applyFill="1" applyBorder="1" applyAlignment="1" applyProtection="1">
      <alignment wrapText="1"/>
    </xf>
    <xf numFmtId="0" fontId="0" fillId="3" borderId="9" xfId="0" applyNumberFormat="1" applyFill="1" applyBorder="1" applyAlignment="1">
      <alignment wrapText="1"/>
    </xf>
    <xf numFmtId="0" fontId="0" fillId="3" borderId="10" xfId="0" applyNumberFormat="1" applyFill="1" applyBorder="1"/>
    <xf numFmtId="0" fontId="0" fillId="3" borderId="11" xfId="0" applyNumberFormat="1" applyFill="1" applyBorder="1"/>
    <xf numFmtId="0" fontId="11" fillId="3" borderId="0" xfId="0" applyFont="1" applyFill="1" applyAlignment="1">
      <alignment horizontal="center"/>
    </xf>
    <xf numFmtId="165" fontId="8" fillId="4" borderId="5" xfId="3" applyNumberFormat="1" applyFont="1" applyFill="1" applyBorder="1" applyAlignment="1">
      <alignment vertical="center" wrapText="1"/>
    </xf>
    <xf numFmtId="165" fontId="8" fillId="5" borderId="0" xfId="3" applyNumberFormat="1" applyFont="1" applyFill="1" applyAlignment="1">
      <alignment vertical="center" wrapText="1"/>
    </xf>
    <xf numFmtId="0" fontId="2" fillId="3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2" fillId="3" borderId="0" xfId="0" applyNumberFormat="1" applyFont="1" applyFill="1"/>
    <xf numFmtId="44" fontId="0" fillId="3" borderId="0" xfId="0" applyNumberFormat="1" applyFill="1"/>
    <xf numFmtId="164" fontId="12" fillId="3" borderId="0" xfId="0" applyNumberFormat="1" applyFont="1" applyFill="1"/>
    <xf numFmtId="44" fontId="12" fillId="3" borderId="0" xfId="0" applyNumberFormat="1" applyFont="1" applyFill="1"/>
    <xf numFmtId="165" fontId="12" fillId="3" borderId="0" xfId="0" applyNumberFormat="1" applyFont="1" applyFill="1"/>
    <xf numFmtId="167" fontId="12" fillId="3" borderId="0" xfId="0" applyNumberFormat="1" applyFont="1" applyFill="1"/>
    <xf numFmtId="169" fontId="12" fillId="3" borderId="0" xfId="0" applyNumberFormat="1" applyFont="1" applyFill="1"/>
    <xf numFmtId="165" fontId="7" fillId="0" borderId="2" xfId="3" applyNumberFormat="1" applyFont="1" applyFill="1" applyBorder="1" applyAlignment="1" applyProtection="1">
      <alignment wrapText="1"/>
    </xf>
    <xf numFmtId="165" fontId="0" fillId="0" borderId="0" xfId="3" applyNumberFormat="1" applyFont="1" applyFill="1"/>
    <xf numFmtId="0" fontId="12" fillId="0" borderId="0" xfId="0" applyNumberFormat="1" applyFont="1" applyFill="1"/>
    <xf numFmtId="164" fontId="0" fillId="0" borderId="0" xfId="1" applyNumberFormat="1" applyFont="1" applyFill="1" applyBorder="1"/>
    <xf numFmtId="164" fontId="0" fillId="0" borderId="8" xfId="1" applyNumberFormat="1" applyFont="1" applyFill="1" applyBorder="1"/>
  </cellXfs>
  <cellStyles count="4">
    <cellStyle name="Comma" xfId="3" builtinId="3"/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abSelected="1" workbookViewId="0">
      <selection activeCell="B5" sqref="B5"/>
    </sheetView>
  </sheetViews>
  <sheetFormatPr defaultColWidth="8.90625" defaultRowHeight="14.5" x14ac:dyDescent="0.35"/>
  <cols>
    <col min="1" max="1" width="19.90625" style="6" customWidth="1"/>
    <col min="2" max="2" width="13.36328125" style="6" customWidth="1"/>
    <col min="3" max="4" width="18.6328125" style="6" customWidth="1"/>
    <col min="5" max="16384" width="8.90625" style="6"/>
  </cols>
  <sheetData>
    <row r="1" spans="1:4" ht="34.25" customHeight="1" x14ac:dyDescent="0.35">
      <c r="A1" s="76" t="s">
        <v>83</v>
      </c>
      <c r="B1" s="77"/>
    </row>
    <row r="3" spans="1:4" ht="43.5" x14ac:dyDescent="0.35">
      <c r="B3" s="40" t="s">
        <v>69</v>
      </c>
      <c r="C3" s="20"/>
      <c r="D3" s="20"/>
    </row>
    <row r="4" spans="1:4" x14ac:dyDescent="0.35">
      <c r="A4" s="5" t="s">
        <v>73</v>
      </c>
      <c r="B4" s="18" t="s">
        <v>70</v>
      </c>
    </row>
    <row r="5" spans="1:4" x14ac:dyDescent="0.35">
      <c r="A5" s="21" t="s">
        <v>67</v>
      </c>
      <c r="B5" s="1">
        <f>SUM('5 Year Loan Method'!B54:F54)</f>
        <v>-1589.0438915265306</v>
      </c>
    </row>
    <row r="6" spans="1:4" x14ac:dyDescent="0.35">
      <c r="B6" s="1"/>
    </row>
    <row r="7" spans="1:4" ht="43.5" x14ac:dyDescent="0.35">
      <c r="A7" s="43" t="s">
        <v>68</v>
      </c>
      <c r="B7" s="1"/>
    </row>
    <row r="8" spans="1:4" x14ac:dyDescent="0.35">
      <c r="A8" s="21" t="s">
        <v>67</v>
      </c>
      <c r="B8" s="1">
        <f>SUM('5 Year NBV Method'!B56:F56)</f>
        <v>-4728.0341998765525</v>
      </c>
    </row>
    <row r="10" spans="1:4" x14ac:dyDescent="0.35">
      <c r="B10" s="19"/>
    </row>
    <row r="11" spans="1:4" ht="15" thickBot="1" x14ac:dyDescent="0.4">
      <c r="A11" s="42" t="s">
        <v>77</v>
      </c>
      <c r="B11" s="41">
        <f>B8-B5</f>
        <v>-3138.9903083500221</v>
      </c>
    </row>
    <row r="12" spans="1:4" ht="15" thickTop="1" x14ac:dyDescent="0.35"/>
  </sheetData>
  <mergeCells count="1">
    <mergeCell ref="A1:B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topLeftCell="A37" workbookViewId="0">
      <selection activeCell="G54" sqref="G54:G57"/>
    </sheetView>
  </sheetViews>
  <sheetFormatPr defaultColWidth="8.90625" defaultRowHeight="14.5" x14ac:dyDescent="0.35"/>
  <cols>
    <col min="1" max="1" width="48.1796875" style="38" customWidth="1"/>
    <col min="2" max="6" width="9.81640625" style="2" customWidth="1"/>
    <col min="7" max="7" width="9.08984375" style="2" bestFit="1" customWidth="1"/>
    <col min="8" max="16384" width="8.90625" style="2"/>
  </cols>
  <sheetData>
    <row r="1" spans="1:6" ht="18.5" x14ac:dyDescent="0.35">
      <c r="A1" s="75" t="s">
        <v>80</v>
      </c>
    </row>
    <row r="2" spans="1:6" ht="39.65" customHeight="1" x14ac:dyDescent="0.35">
      <c r="A2" s="27" t="s">
        <v>71</v>
      </c>
      <c r="B2" s="22"/>
      <c r="C2" s="22"/>
      <c r="D2" s="22"/>
      <c r="E2" s="22"/>
      <c r="F2" s="22"/>
    </row>
    <row r="3" spans="1:6" x14ac:dyDescent="0.35">
      <c r="A3" s="28"/>
      <c r="B3" s="39" t="s">
        <v>27</v>
      </c>
      <c r="C3" s="39" t="s">
        <v>26</v>
      </c>
      <c r="D3" s="39" t="s">
        <v>28</v>
      </c>
      <c r="E3" s="39" t="s">
        <v>75</v>
      </c>
      <c r="F3" s="39" t="s">
        <v>76</v>
      </c>
    </row>
    <row r="4" spans="1:6" x14ac:dyDescent="0.35">
      <c r="A4" s="28" t="s">
        <v>1</v>
      </c>
      <c r="B4" s="22"/>
      <c r="C4" s="22"/>
      <c r="D4" s="22"/>
      <c r="E4" s="22"/>
      <c r="F4" s="22"/>
    </row>
    <row r="5" spans="1:6" s="6" customFormat="1" x14ac:dyDescent="0.35">
      <c r="A5" s="29" t="s">
        <v>50</v>
      </c>
      <c r="B5" s="22">
        <v>0</v>
      </c>
      <c r="C5" s="22">
        <f>B8</f>
        <v>9149.4</v>
      </c>
      <c r="D5" s="22">
        <f>C8</f>
        <v>9149.4</v>
      </c>
      <c r="E5" s="22">
        <f>D8</f>
        <v>9149.4</v>
      </c>
      <c r="F5" s="22">
        <f>E8</f>
        <v>9149.4</v>
      </c>
    </row>
    <row r="6" spans="1:6" s="6" customFormat="1" x14ac:dyDescent="0.35">
      <c r="A6" s="29" t="s">
        <v>18</v>
      </c>
      <c r="B6" s="22">
        <f>ROUND(Assumptions!B5,4)</f>
        <v>9149.4</v>
      </c>
      <c r="C6" s="22">
        <v>0</v>
      </c>
      <c r="D6" s="22">
        <v>0</v>
      </c>
      <c r="E6" s="22">
        <v>0</v>
      </c>
      <c r="F6" s="22">
        <v>0</v>
      </c>
    </row>
    <row r="7" spans="1:6" s="6" customFormat="1" x14ac:dyDescent="0.35">
      <c r="A7" s="29" t="s">
        <v>19</v>
      </c>
      <c r="B7" s="22">
        <v>0</v>
      </c>
      <c r="C7" s="22">
        <f>B7</f>
        <v>0</v>
      </c>
      <c r="D7" s="22">
        <v>0</v>
      </c>
      <c r="E7" s="22">
        <f>D7</f>
        <v>0</v>
      </c>
      <c r="F7" s="22">
        <v>9149.4</v>
      </c>
    </row>
    <row r="8" spans="1:6" s="6" customFormat="1" x14ac:dyDescent="0.35">
      <c r="A8" s="29" t="s">
        <v>17</v>
      </c>
      <c r="B8" s="22">
        <f>ROUND(B6-B7,4)</f>
        <v>9149.4</v>
      </c>
      <c r="C8" s="22">
        <f>C5-C7</f>
        <v>9149.4</v>
      </c>
      <c r="D8" s="22">
        <f t="shared" ref="D8:F8" si="0">D5-D7</f>
        <v>9149.4</v>
      </c>
      <c r="E8" s="22">
        <f>E5-E7</f>
        <v>9149.4</v>
      </c>
      <c r="F8" s="22">
        <f t="shared" si="0"/>
        <v>0</v>
      </c>
    </row>
    <row r="9" spans="1:6" x14ac:dyDescent="0.35">
      <c r="A9" s="29" t="s">
        <v>57</v>
      </c>
      <c r="B9" s="24">
        <f>(B5+B8)/2</f>
        <v>4574.7</v>
      </c>
      <c r="C9" s="24">
        <f t="shared" ref="C9:D9" si="1">(C5+C8)/2</f>
        <v>9149.4</v>
      </c>
      <c r="D9" s="24">
        <f t="shared" si="1"/>
        <v>9149.4</v>
      </c>
      <c r="E9" s="24">
        <f t="shared" ref="E9:F9" si="2">(E5+E8)/2</f>
        <v>9149.4</v>
      </c>
      <c r="F9" s="24">
        <f t="shared" si="2"/>
        <v>4574.7</v>
      </c>
    </row>
    <row r="10" spans="1:6" x14ac:dyDescent="0.35">
      <c r="A10" s="28"/>
      <c r="B10" s="22"/>
      <c r="C10" s="22"/>
      <c r="D10" s="22"/>
      <c r="E10" s="22"/>
      <c r="F10" s="22"/>
    </row>
    <row r="11" spans="1:6" x14ac:dyDescent="0.35">
      <c r="A11" s="28" t="s">
        <v>22</v>
      </c>
      <c r="B11" s="23">
        <f>B8*Assumptions!$B$8</f>
        <v>263.50272000000001</v>
      </c>
      <c r="C11" s="23">
        <f>C8*Assumptions!$B$8</f>
        <v>263.50272000000001</v>
      </c>
      <c r="D11" s="23">
        <f>D8*Assumptions!$B$8</f>
        <v>263.50272000000001</v>
      </c>
      <c r="E11" s="23">
        <f>E8*Assumptions!$B$8</f>
        <v>263.50272000000001</v>
      </c>
      <c r="F11" s="23">
        <f>F8*Assumptions!$B$8</f>
        <v>0</v>
      </c>
    </row>
    <row r="12" spans="1:6" x14ac:dyDescent="0.35">
      <c r="A12" s="29"/>
      <c r="B12" s="22"/>
      <c r="C12" s="22"/>
      <c r="D12" s="22"/>
      <c r="E12" s="22"/>
      <c r="F12" s="22"/>
    </row>
    <row r="13" spans="1:6" x14ac:dyDescent="0.35">
      <c r="A13" s="29" t="s">
        <v>66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</row>
    <row r="14" spans="1:6" x14ac:dyDescent="0.35">
      <c r="A14" s="29" t="s">
        <v>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</row>
    <row r="15" spans="1:6" x14ac:dyDescent="0.35">
      <c r="A15" s="28" t="s">
        <v>5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</row>
    <row r="16" spans="1:6" x14ac:dyDescent="0.35">
      <c r="A16" s="29"/>
      <c r="B16" s="22"/>
      <c r="C16" s="22"/>
      <c r="D16" s="22"/>
      <c r="E16" s="22"/>
      <c r="F16" s="22"/>
    </row>
    <row r="17" spans="1:6" x14ac:dyDescent="0.35">
      <c r="A17" s="28" t="s">
        <v>23</v>
      </c>
      <c r="B17" s="22"/>
      <c r="C17" s="22"/>
      <c r="D17" s="22"/>
      <c r="E17" s="22"/>
      <c r="F17" s="22"/>
    </row>
    <row r="18" spans="1:6" x14ac:dyDescent="0.35">
      <c r="A18" s="29" t="s">
        <v>24</v>
      </c>
      <c r="B18" s="22">
        <f>Assumptions!$B$12*Assumptions!$B$17*B9</f>
        <v>5.0321699999999998</v>
      </c>
      <c r="C18" s="22">
        <f>Assumptions!$B$12*Assumptions!$B$17*C9</f>
        <v>10.06434</v>
      </c>
      <c r="D18" s="22">
        <f>Assumptions!$B$12*Assumptions!$B$17*D9</f>
        <v>10.06434</v>
      </c>
      <c r="E18" s="22">
        <f>Assumptions!$B$12*Assumptions!$B$17*E9</f>
        <v>10.06434</v>
      </c>
      <c r="F18" s="22">
        <f>Assumptions!$B$12*Assumptions!$B$17*F9</f>
        <v>5.0321699999999998</v>
      </c>
    </row>
    <row r="19" spans="1:6" x14ac:dyDescent="0.35">
      <c r="A19" s="29" t="s">
        <v>25</v>
      </c>
      <c r="B19" s="22">
        <f>Assumptions!$B$13*Assumptions!$B$18*B9</f>
        <v>113.2329744</v>
      </c>
      <c r="C19" s="22">
        <f>Assumptions!$B$13*Assumptions!$B$18*C9</f>
        <v>226.46594880000001</v>
      </c>
      <c r="D19" s="22">
        <f>Assumptions!$B$13*Assumptions!$B$18*D9</f>
        <v>226.46594880000001</v>
      </c>
      <c r="E19" s="22">
        <f>Assumptions!$B$13*Assumptions!$B$18*E9</f>
        <v>226.46594880000001</v>
      </c>
      <c r="F19" s="22">
        <f>Assumptions!$B$13*Assumptions!$B$18*F9</f>
        <v>113.2329744</v>
      </c>
    </row>
    <row r="20" spans="1:6" x14ac:dyDescent="0.35">
      <c r="A20" s="29" t="s">
        <v>12</v>
      </c>
      <c r="B20" s="22">
        <f>Assumptions!$B$14*Assumptions!$B$19*B9</f>
        <v>155.905776</v>
      </c>
      <c r="C20" s="22">
        <f>Assumptions!$B$14*Assumptions!$B$19*C9</f>
        <v>311.81155200000001</v>
      </c>
      <c r="D20" s="22">
        <f>Assumptions!$B$14*Assumptions!$B$19*D9</f>
        <v>311.81155200000001</v>
      </c>
      <c r="E20" s="22">
        <f>Assumptions!$B$14*Assumptions!$B$19*E9</f>
        <v>311.81155200000001</v>
      </c>
      <c r="F20" s="22">
        <f>Assumptions!$B$14*Assumptions!$B$19*F9</f>
        <v>155.905776</v>
      </c>
    </row>
    <row r="21" spans="1:6" x14ac:dyDescent="0.35">
      <c r="A21" s="28" t="s">
        <v>29</v>
      </c>
      <c r="B21" s="24">
        <f>SUM(B18:B20)</f>
        <v>274.1709204</v>
      </c>
      <c r="C21" s="24">
        <f t="shared" ref="C21:D21" si="3">SUM(C18:C20)</f>
        <v>548.3418408</v>
      </c>
      <c r="D21" s="24">
        <f t="shared" si="3"/>
        <v>548.3418408</v>
      </c>
      <c r="E21" s="24">
        <f t="shared" ref="E21:F21" si="4">SUM(E18:E20)</f>
        <v>548.3418408</v>
      </c>
      <c r="F21" s="24">
        <f t="shared" si="4"/>
        <v>274.1709204</v>
      </c>
    </row>
    <row r="22" spans="1:6" x14ac:dyDescent="0.35">
      <c r="A22" s="29"/>
      <c r="B22" s="22"/>
      <c r="C22" s="22"/>
      <c r="D22" s="22"/>
      <c r="E22" s="22"/>
      <c r="F22" s="22"/>
    </row>
    <row r="23" spans="1:6" x14ac:dyDescent="0.35">
      <c r="A23" s="29"/>
      <c r="B23" s="22"/>
      <c r="C23" s="22"/>
      <c r="D23" s="22"/>
      <c r="E23" s="22"/>
      <c r="F23" s="22"/>
    </row>
    <row r="24" spans="1:6" x14ac:dyDescent="0.35">
      <c r="A24" s="28" t="s">
        <v>30</v>
      </c>
      <c r="B24" s="22"/>
      <c r="C24" s="22"/>
      <c r="D24" s="22"/>
      <c r="E24" s="22"/>
      <c r="F24" s="22"/>
    </row>
    <row r="25" spans="1:6" x14ac:dyDescent="0.35">
      <c r="A25" s="29" t="s">
        <v>31</v>
      </c>
      <c r="B25" s="22"/>
      <c r="C25" s="22"/>
      <c r="D25" s="22"/>
      <c r="E25" s="22"/>
      <c r="F25" s="22"/>
    </row>
    <row r="26" spans="1:6" x14ac:dyDescent="0.35">
      <c r="A26" s="29" t="s">
        <v>32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</row>
    <row r="27" spans="1:6" x14ac:dyDescent="0.35">
      <c r="A27" s="29" t="s">
        <v>34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</row>
    <row r="28" spans="1:6" x14ac:dyDescent="0.35">
      <c r="A28" s="29" t="s">
        <v>33</v>
      </c>
      <c r="B28" s="22">
        <f>B26-B27</f>
        <v>0</v>
      </c>
      <c r="C28" s="22">
        <f t="shared" ref="C28:D28" si="5">C26-C27</f>
        <v>0</v>
      </c>
      <c r="D28" s="22">
        <f t="shared" si="5"/>
        <v>0</v>
      </c>
      <c r="E28" s="22">
        <f t="shared" ref="E28:F28" si="6">E26-E27</f>
        <v>0</v>
      </c>
      <c r="F28" s="22">
        <f t="shared" si="6"/>
        <v>0</v>
      </c>
    </row>
    <row r="29" spans="1:6" x14ac:dyDescent="0.35">
      <c r="A29" s="29" t="s">
        <v>47</v>
      </c>
      <c r="B29" s="26" t="s">
        <v>35</v>
      </c>
      <c r="C29" s="22">
        <f>B35</f>
        <v>0</v>
      </c>
      <c r="D29" s="22">
        <f t="shared" ref="D29" si="7">C35</f>
        <v>0</v>
      </c>
      <c r="E29" s="22">
        <f>D35</f>
        <v>0</v>
      </c>
      <c r="F29" s="22">
        <f t="shared" ref="F29" si="8">E35</f>
        <v>0</v>
      </c>
    </row>
    <row r="30" spans="1:6" x14ac:dyDescent="0.35">
      <c r="A30" s="29" t="s">
        <v>36</v>
      </c>
      <c r="B30" s="26" t="str">
        <f>B29</f>
        <v>0</v>
      </c>
      <c r="C30" s="22">
        <f t="shared" ref="C30:D30" si="9">C29</f>
        <v>0</v>
      </c>
      <c r="D30" s="22">
        <f t="shared" si="9"/>
        <v>0</v>
      </c>
      <c r="E30" s="22">
        <f t="shared" ref="E30:F30" si="10">E29</f>
        <v>0</v>
      </c>
      <c r="F30" s="22">
        <f t="shared" si="10"/>
        <v>0</v>
      </c>
    </row>
    <row r="31" spans="1:6" x14ac:dyDescent="0.35">
      <c r="A31" s="29" t="s">
        <v>48</v>
      </c>
      <c r="B31" s="22">
        <f>B28*0.5</f>
        <v>0</v>
      </c>
      <c r="C31" s="22">
        <f t="shared" ref="C31:D31" si="11">C28*0.5</f>
        <v>0</v>
      </c>
      <c r="D31" s="22">
        <f t="shared" si="11"/>
        <v>0</v>
      </c>
      <c r="E31" s="22">
        <f t="shared" ref="E31:F31" si="12">E28*0.5</f>
        <v>0</v>
      </c>
      <c r="F31" s="22">
        <f t="shared" si="12"/>
        <v>0</v>
      </c>
    </row>
    <row r="32" spans="1:6" x14ac:dyDescent="0.35">
      <c r="A32" s="29" t="s">
        <v>49</v>
      </c>
      <c r="B32" s="22">
        <f>B30+B31</f>
        <v>0</v>
      </c>
      <c r="C32" s="22">
        <f t="shared" ref="C32:D32" si="13">C30+C31</f>
        <v>0</v>
      </c>
      <c r="D32" s="22">
        <f t="shared" si="13"/>
        <v>0</v>
      </c>
      <c r="E32" s="22">
        <f t="shared" ref="E32:F32" si="14">E30+E31</f>
        <v>0</v>
      </c>
      <c r="F32" s="22">
        <f t="shared" si="14"/>
        <v>0</v>
      </c>
    </row>
    <row r="33" spans="1:9" x14ac:dyDescent="0.35">
      <c r="A33" s="29" t="s">
        <v>38</v>
      </c>
      <c r="B33" s="22">
        <v>0.08</v>
      </c>
      <c r="C33" s="22">
        <v>0.08</v>
      </c>
      <c r="D33" s="22">
        <f>C33</f>
        <v>0.08</v>
      </c>
      <c r="E33" s="22">
        <v>0.08</v>
      </c>
      <c r="F33" s="22">
        <v>0.08</v>
      </c>
    </row>
    <row r="34" spans="1:9" ht="43.5" x14ac:dyDescent="0.35">
      <c r="A34" s="29" t="s">
        <v>37</v>
      </c>
      <c r="B34" s="22">
        <f>B32*B33</f>
        <v>0</v>
      </c>
      <c r="C34" s="22">
        <f t="shared" ref="C34:D34" si="15">C32*C33</f>
        <v>0</v>
      </c>
      <c r="D34" s="22">
        <f t="shared" si="15"/>
        <v>0</v>
      </c>
      <c r="E34" s="22">
        <f t="shared" ref="E34:F34" si="16">E32*E33</f>
        <v>0</v>
      </c>
      <c r="F34" s="22">
        <f t="shared" si="16"/>
        <v>0</v>
      </c>
    </row>
    <row r="35" spans="1:9" x14ac:dyDescent="0.35">
      <c r="A35" s="29" t="s">
        <v>39</v>
      </c>
      <c r="B35" s="22">
        <f>B28+B29-B34</f>
        <v>0</v>
      </c>
      <c r="C35" s="22">
        <f t="shared" ref="C35:D35" si="17">C28+C29-C34</f>
        <v>0</v>
      </c>
      <c r="D35" s="22">
        <f t="shared" si="17"/>
        <v>0</v>
      </c>
      <c r="E35" s="22">
        <f t="shared" ref="E35:F35" si="18">E28+E29-E34</f>
        <v>0</v>
      </c>
      <c r="F35" s="22">
        <f t="shared" si="18"/>
        <v>0</v>
      </c>
    </row>
    <row r="36" spans="1:9" s="6" customFormat="1" x14ac:dyDescent="0.35">
      <c r="A36" s="29"/>
      <c r="B36" s="22"/>
      <c r="C36" s="22"/>
      <c r="D36" s="22"/>
      <c r="E36" s="22"/>
      <c r="F36" s="22"/>
    </row>
    <row r="37" spans="1:9" s="6" customFormat="1" x14ac:dyDescent="0.35">
      <c r="A37" s="28" t="s">
        <v>51</v>
      </c>
      <c r="B37" s="22">
        <v>0</v>
      </c>
      <c r="C37" s="22">
        <v>0</v>
      </c>
      <c r="D37" s="22">
        <v>0</v>
      </c>
      <c r="E37" s="22">
        <v>0</v>
      </c>
      <c r="F37" s="22">
        <v>0</v>
      </c>
    </row>
    <row r="38" spans="1:9" x14ac:dyDescent="0.35">
      <c r="A38" s="29"/>
      <c r="B38" s="22"/>
      <c r="C38" s="22"/>
      <c r="D38" s="22"/>
      <c r="E38" s="22"/>
      <c r="F38" s="22"/>
    </row>
    <row r="39" spans="1:9" x14ac:dyDescent="0.35">
      <c r="A39" s="30" t="s">
        <v>2</v>
      </c>
      <c r="B39" s="22">
        <f>B11</f>
        <v>263.50272000000001</v>
      </c>
      <c r="C39" s="22">
        <f t="shared" ref="C39:D39" si="19">C11</f>
        <v>263.50272000000001</v>
      </c>
      <c r="D39" s="22">
        <f t="shared" si="19"/>
        <v>263.50272000000001</v>
      </c>
      <c r="E39" s="22">
        <f t="shared" ref="E39:F39" si="20">E11</f>
        <v>263.50272000000001</v>
      </c>
      <c r="F39" s="22">
        <f t="shared" si="20"/>
        <v>0</v>
      </c>
      <c r="G39" s="78"/>
    </row>
    <row r="40" spans="1:9" x14ac:dyDescent="0.35">
      <c r="A40" s="30" t="s">
        <v>3</v>
      </c>
      <c r="B40" s="22">
        <f>B13</f>
        <v>0</v>
      </c>
      <c r="C40" s="22">
        <f t="shared" ref="C40:D40" si="21">C13</f>
        <v>0</v>
      </c>
      <c r="D40" s="22">
        <f t="shared" si="21"/>
        <v>0</v>
      </c>
      <c r="E40" s="22">
        <f t="shared" ref="E40:F40" si="22">E13</f>
        <v>0</v>
      </c>
      <c r="F40" s="22">
        <f t="shared" si="22"/>
        <v>0</v>
      </c>
    </row>
    <row r="41" spans="1:9" x14ac:dyDescent="0.35">
      <c r="A41" s="30" t="s">
        <v>44</v>
      </c>
      <c r="B41" s="22">
        <f>B39-B40</f>
        <v>263.50272000000001</v>
      </c>
      <c r="C41" s="22">
        <f t="shared" ref="C41:D41" si="23">C39-C40</f>
        <v>263.50272000000001</v>
      </c>
      <c r="D41" s="22">
        <f t="shared" si="23"/>
        <v>263.50272000000001</v>
      </c>
      <c r="E41" s="22">
        <f t="shared" ref="E41:F41" si="24">E39-E40</f>
        <v>263.50272000000001</v>
      </c>
      <c r="F41" s="22">
        <f t="shared" si="24"/>
        <v>0</v>
      </c>
    </row>
    <row r="42" spans="1:9" x14ac:dyDescent="0.35">
      <c r="A42" s="30" t="s">
        <v>40</v>
      </c>
      <c r="B42" s="22"/>
      <c r="C42" s="22"/>
      <c r="D42" s="22"/>
      <c r="E42" s="22"/>
      <c r="F42" s="22"/>
    </row>
    <row r="43" spans="1:9" x14ac:dyDescent="0.35">
      <c r="A43" s="30" t="s">
        <v>46</v>
      </c>
      <c r="B43" s="22">
        <f>B34</f>
        <v>0</v>
      </c>
      <c r="C43" s="22">
        <f t="shared" ref="C43:D43" si="25">C34</f>
        <v>0</v>
      </c>
      <c r="D43" s="22">
        <f t="shared" si="25"/>
        <v>0</v>
      </c>
      <c r="E43" s="22">
        <f t="shared" ref="E43:F43" si="26">E34</f>
        <v>0</v>
      </c>
      <c r="F43" s="22">
        <f t="shared" si="26"/>
        <v>0</v>
      </c>
    </row>
    <row r="44" spans="1:9" x14ac:dyDescent="0.35">
      <c r="A44" s="85" t="s">
        <v>88</v>
      </c>
      <c r="B44" s="86">
        <f>-SUM(B18:B19)</f>
        <v>-118.2651444</v>
      </c>
      <c r="C44" s="86">
        <f t="shared" ref="C44:D44" si="27">-SUM(C18:C19)</f>
        <v>-236.53028879999999</v>
      </c>
      <c r="D44" s="86">
        <f t="shared" si="27"/>
        <v>-236.53028879999999</v>
      </c>
      <c r="E44" s="86">
        <f t="shared" ref="E44:F44" si="28">-SUM(E18:E19)</f>
        <v>-236.53028879999999</v>
      </c>
      <c r="F44" s="86">
        <f t="shared" si="28"/>
        <v>-118.2651444</v>
      </c>
      <c r="G44" s="87"/>
      <c r="I44" s="78"/>
    </row>
    <row r="45" spans="1:9" x14ac:dyDescent="0.35">
      <c r="A45" s="30" t="s">
        <v>52</v>
      </c>
      <c r="B45" s="22">
        <f>B37</f>
        <v>0</v>
      </c>
      <c r="C45" s="22">
        <f t="shared" ref="C45:D45" si="29">C37</f>
        <v>0</v>
      </c>
      <c r="D45" s="22">
        <f t="shared" si="29"/>
        <v>0</v>
      </c>
      <c r="E45" s="22">
        <f t="shared" ref="E45:F45" si="30">E37</f>
        <v>0</v>
      </c>
      <c r="F45" s="22">
        <f t="shared" si="30"/>
        <v>0</v>
      </c>
    </row>
    <row r="46" spans="1:9" x14ac:dyDescent="0.35">
      <c r="A46" s="30" t="s">
        <v>41</v>
      </c>
      <c r="B46" s="22">
        <f>SUM(B43:B45)</f>
        <v>-118.2651444</v>
      </c>
      <c r="C46" s="22">
        <f t="shared" ref="C46:D46" si="31">SUM(C43:C45)</f>
        <v>-236.53028879999999</v>
      </c>
      <c r="D46" s="22">
        <f t="shared" si="31"/>
        <v>-236.53028879999999</v>
      </c>
      <c r="E46" s="22">
        <f t="shared" ref="E46:F46" si="32">SUM(E43:E45)</f>
        <v>-236.53028879999999</v>
      </c>
      <c r="F46" s="22">
        <f t="shared" si="32"/>
        <v>-118.2651444</v>
      </c>
    </row>
    <row r="47" spans="1:9" x14ac:dyDescent="0.35">
      <c r="A47" s="30" t="s">
        <v>42</v>
      </c>
      <c r="B47" s="22">
        <f>B39+B46</f>
        <v>145.23757560000001</v>
      </c>
      <c r="C47" s="22">
        <f t="shared" ref="C47:D47" si="33">C39+C46</f>
        <v>26.972431200000017</v>
      </c>
      <c r="D47" s="22">
        <f t="shared" si="33"/>
        <v>26.972431200000017</v>
      </c>
      <c r="E47" s="22">
        <f t="shared" ref="E47:F47" si="34">E39+E46</f>
        <v>26.972431200000017</v>
      </c>
      <c r="F47" s="22">
        <f t="shared" si="34"/>
        <v>-118.2651444</v>
      </c>
    </row>
    <row r="48" spans="1:9" x14ac:dyDescent="0.35">
      <c r="A48" s="30" t="s">
        <v>43</v>
      </c>
      <c r="B48" s="22">
        <f>-B47*Assumptions!$B$24</f>
        <v>-38.487957534000003</v>
      </c>
      <c r="C48" s="22">
        <f>-C47*Assumptions!$B$24</f>
        <v>-7.1476942680000048</v>
      </c>
      <c r="D48" s="22">
        <f>-D47*Assumptions!$B$24</f>
        <v>-7.1476942680000048</v>
      </c>
      <c r="E48" s="22">
        <f>-E47*Assumptions!$B$24</f>
        <v>-7.1476942680000048</v>
      </c>
      <c r="F48" s="22">
        <f>-F47*Assumptions!$B$24</f>
        <v>31.340263266000001</v>
      </c>
    </row>
    <row r="49" spans="1:7" x14ac:dyDescent="0.35">
      <c r="A49" s="30" t="s">
        <v>58</v>
      </c>
      <c r="B49" s="22">
        <f>B41+B48</f>
        <v>225.01476246600001</v>
      </c>
      <c r="C49" s="22">
        <f t="shared" ref="C49:D49" si="35">C41+C48</f>
        <v>256.355025732</v>
      </c>
      <c r="D49" s="22">
        <f t="shared" si="35"/>
        <v>256.355025732</v>
      </c>
      <c r="E49" s="22">
        <f t="shared" ref="E49:F49" si="36">E41+E48</f>
        <v>256.355025732</v>
      </c>
      <c r="F49" s="22">
        <f t="shared" si="36"/>
        <v>31.340263266000001</v>
      </c>
    </row>
    <row r="50" spans="1:7" x14ac:dyDescent="0.35">
      <c r="A50" s="31"/>
      <c r="B50" s="22"/>
      <c r="C50" s="22"/>
      <c r="D50" s="22"/>
      <c r="E50" s="22"/>
      <c r="F50" s="22"/>
    </row>
    <row r="51" spans="1:7" x14ac:dyDescent="0.35">
      <c r="A51" s="29" t="s">
        <v>59</v>
      </c>
      <c r="B51" s="22">
        <f>B21</f>
        <v>274.1709204</v>
      </c>
      <c r="C51" s="22">
        <f t="shared" ref="C51:D51" si="37">C21</f>
        <v>548.3418408</v>
      </c>
      <c r="D51" s="22">
        <f t="shared" si="37"/>
        <v>548.3418408</v>
      </c>
      <c r="E51" s="22">
        <f t="shared" ref="E51:F51" si="38">E21</f>
        <v>548.3418408</v>
      </c>
      <c r="F51" s="22">
        <f t="shared" si="38"/>
        <v>274.1709204</v>
      </c>
    </row>
    <row r="52" spans="1:7" x14ac:dyDescent="0.35">
      <c r="A52" s="29" t="s">
        <v>85</v>
      </c>
      <c r="B52" s="22">
        <f>B49-B51</f>
        <v>-49.156157933999992</v>
      </c>
      <c r="C52" s="22">
        <f t="shared" ref="C52:D52" si="39">C49-C51</f>
        <v>-291.986815068</v>
      </c>
      <c r="D52" s="22">
        <f t="shared" si="39"/>
        <v>-291.986815068</v>
      </c>
      <c r="E52" s="22">
        <f t="shared" ref="E52:F52" si="40">E49-E51</f>
        <v>-291.986815068</v>
      </c>
      <c r="F52" s="22">
        <f t="shared" si="40"/>
        <v>-242.83065713400001</v>
      </c>
    </row>
    <row r="53" spans="1:7" x14ac:dyDescent="0.35">
      <c r="A53" s="29" t="s">
        <v>45</v>
      </c>
      <c r="B53" s="22">
        <f>B52/(1-Assumptions!$B$24)-B52</f>
        <v>-17.722968506816329</v>
      </c>
      <c r="C53" s="22">
        <f>C52/(1-Assumptions!$B$24)-C52</f>
        <v>-105.27415781363266</v>
      </c>
      <c r="D53" s="22">
        <f>D52/(1-Assumptions!$B$24)-D52</f>
        <v>-105.27415781363266</v>
      </c>
      <c r="E53" s="22">
        <f>E52/(1-Assumptions!$B$24)-E52</f>
        <v>-105.27415781363266</v>
      </c>
      <c r="F53" s="22">
        <f>F52/(1-Assumptions!$B$24)-F52</f>
        <v>-87.551189306816326</v>
      </c>
    </row>
    <row r="54" spans="1:7" x14ac:dyDescent="0.35">
      <c r="A54" s="32" t="s">
        <v>87</v>
      </c>
      <c r="B54" s="24">
        <f>SUM(B52:B53)</f>
        <v>-66.879126440816322</v>
      </c>
      <c r="C54" s="24">
        <f t="shared" ref="C54:D54" si="41">SUM(C52:C53)</f>
        <v>-397.26097288163265</v>
      </c>
      <c r="D54" s="24">
        <f t="shared" si="41"/>
        <v>-397.26097288163265</v>
      </c>
      <c r="E54" s="24">
        <f t="shared" ref="E54:F54" si="42">SUM(E52:E53)</f>
        <v>-397.26097288163265</v>
      </c>
      <c r="F54" s="24">
        <f t="shared" si="42"/>
        <v>-330.38184644081633</v>
      </c>
      <c r="G54" s="82"/>
    </row>
    <row r="55" spans="1:7" x14ac:dyDescent="0.35">
      <c r="A55" s="33"/>
      <c r="G55" s="83"/>
    </row>
    <row r="56" spans="1:7" x14ac:dyDescent="0.35">
      <c r="A56" s="33"/>
      <c r="G56" s="84"/>
    </row>
    <row r="57" spans="1:7" x14ac:dyDescent="0.35">
      <c r="A57" s="34"/>
    </row>
    <row r="58" spans="1:7" x14ac:dyDescent="0.35">
      <c r="A58" s="35"/>
    </row>
    <row r="59" spans="1:7" x14ac:dyDescent="0.35">
      <c r="A59" s="36"/>
    </row>
    <row r="60" spans="1:7" x14ac:dyDescent="0.35">
      <c r="A60" s="37"/>
    </row>
    <row r="61" spans="1:7" x14ac:dyDescent="0.35">
      <c r="A61" s="37"/>
    </row>
    <row r="62" spans="1:7" x14ac:dyDescent="0.35">
      <c r="A62" s="37"/>
    </row>
  </sheetData>
  <phoneticPr fontId="9" type="noConversion"/>
  <pageMargins left="0.7" right="0.7" top="0.75" bottom="0.75" header="0.3" footer="0.3"/>
  <pageSetup scale="8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workbookViewId="0">
      <pane xSplit="1" ySplit="3" topLeftCell="B19" activePane="bottomRight" state="frozen"/>
      <selection pane="topRight" activeCell="B1" sqref="B1"/>
      <selection pane="bottomLeft" activeCell="A13" sqref="A13"/>
      <selection pane="bottomRight" activeCell="G42" sqref="G42"/>
    </sheetView>
  </sheetViews>
  <sheetFormatPr defaultColWidth="8.90625" defaultRowHeight="14.5" x14ac:dyDescent="0.35"/>
  <cols>
    <col min="1" max="1" width="48.08984375" style="38" customWidth="1"/>
    <col min="2" max="6" width="12.36328125" style="2" customWidth="1"/>
    <col min="7" max="7" width="8.90625" style="2"/>
    <col min="8" max="8" width="12" style="2" bestFit="1" customWidth="1"/>
    <col min="9" max="16384" width="8.90625" style="2"/>
  </cols>
  <sheetData>
    <row r="1" spans="1:11" ht="18.5" x14ac:dyDescent="0.35">
      <c r="A1" s="74" t="s">
        <v>81</v>
      </c>
      <c r="B1" s="44"/>
      <c r="C1" s="44"/>
      <c r="D1" s="44"/>
      <c r="E1" s="44"/>
      <c r="F1" s="45"/>
    </row>
    <row r="2" spans="1:11" ht="29.4" customHeight="1" x14ac:dyDescent="0.35">
      <c r="A2" s="46" t="s">
        <v>72</v>
      </c>
      <c r="B2" s="47"/>
      <c r="C2" s="47"/>
      <c r="D2" s="47"/>
      <c r="E2" s="47"/>
      <c r="F2" s="48"/>
    </row>
    <row r="3" spans="1:11" x14ac:dyDescent="0.35">
      <c r="A3" s="49"/>
      <c r="B3" s="50" t="s">
        <v>27</v>
      </c>
      <c r="C3" s="50" t="s">
        <v>26</v>
      </c>
      <c r="D3" s="50" t="s">
        <v>28</v>
      </c>
      <c r="E3" s="50" t="s">
        <v>75</v>
      </c>
      <c r="F3" s="51" t="s">
        <v>76</v>
      </c>
    </row>
    <row r="4" spans="1:11" x14ac:dyDescent="0.35">
      <c r="A4" s="49" t="s">
        <v>1</v>
      </c>
      <c r="B4" s="52"/>
      <c r="C4" s="52"/>
      <c r="D4" s="52"/>
      <c r="E4" s="52"/>
      <c r="F4" s="53"/>
    </row>
    <row r="5" spans="1:11" x14ac:dyDescent="0.35">
      <c r="A5" s="54" t="s">
        <v>50</v>
      </c>
      <c r="B5" s="55">
        <v>0</v>
      </c>
      <c r="C5" s="55">
        <f>B8</f>
        <v>9149.4</v>
      </c>
      <c r="D5" s="55">
        <f>C8</f>
        <v>9149.4</v>
      </c>
      <c r="E5" s="55">
        <f t="shared" ref="E5:F5" si="0">D8</f>
        <v>9149.4</v>
      </c>
      <c r="F5" s="56">
        <f t="shared" si="0"/>
        <v>9149.4</v>
      </c>
    </row>
    <row r="6" spans="1:11" x14ac:dyDescent="0.35">
      <c r="A6" s="54" t="s">
        <v>18</v>
      </c>
      <c r="B6" s="55">
        <f>ROUND(Assumptions!$B$5,4)</f>
        <v>9149.4</v>
      </c>
      <c r="C6" s="55">
        <v>0</v>
      </c>
      <c r="D6" s="55">
        <v>0</v>
      </c>
      <c r="E6" s="55">
        <v>0</v>
      </c>
      <c r="F6" s="56">
        <v>0</v>
      </c>
    </row>
    <row r="7" spans="1:11" x14ac:dyDescent="0.35">
      <c r="A7" s="54" t="s">
        <v>19</v>
      </c>
      <c r="B7" s="57">
        <v>0</v>
      </c>
      <c r="C7" s="55">
        <v>0</v>
      </c>
      <c r="D7" s="55"/>
      <c r="E7" s="55">
        <v>0</v>
      </c>
      <c r="F7" s="56">
        <v>9149.4</v>
      </c>
    </row>
    <row r="8" spans="1:11" x14ac:dyDescent="0.35">
      <c r="A8" s="54" t="s">
        <v>17</v>
      </c>
      <c r="B8" s="15">
        <f>ROUND(B6-B7,4)</f>
        <v>9149.4</v>
      </c>
      <c r="C8" s="15">
        <f>C5-C7</f>
        <v>9149.4</v>
      </c>
      <c r="D8" s="15">
        <f t="shared" ref="D8:E8" si="1">D5-D7</f>
        <v>9149.4</v>
      </c>
      <c r="E8" s="15">
        <f t="shared" si="1"/>
        <v>9149.4</v>
      </c>
      <c r="F8" s="58">
        <f t="shared" ref="F8" si="2">F5-F7</f>
        <v>0</v>
      </c>
    </row>
    <row r="9" spans="1:11" x14ac:dyDescent="0.35">
      <c r="A9" s="54" t="s">
        <v>56</v>
      </c>
      <c r="B9" s="55">
        <f>B16</f>
        <v>-91.494</v>
      </c>
      <c r="C9" s="55">
        <f>C16</f>
        <v>-182.988</v>
      </c>
      <c r="D9" s="55">
        <f t="shared" ref="D9:E9" si="3">D16</f>
        <v>-182.988</v>
      </c>
      <c r="E9" s="55">
        <f t="shared" si="3"/>
        <v>-182.988</v>
      </c>
      <c r="F9" s="56">
        <f t="shared" ref="F9" si="4">F16</f>
        <v>-91.494</v>
      </c>
    </row>
    <row r="10" spans="1:11" x14ac:dyDescent="0.35">
      <c r="A10" s="54" t="s">
        <v>55</v>
      </c>
      <c r="B10" s="55">
        <v>0</v>
      </c>
      <c r="C10" s="55">
        <f>SUM(B9:B10)</f>
        <v>-91.494</v>
      </c>
      <c r="D10" s="55">
        <f t="shared" ref="D10" si="5">SUM(C9:C10)</f>
        <v>-274.48199999999997</v>
      </c>
      <c r="E10" s="55">
        <f>SUM(D9:D10)</f>
        <v>-457.46999999999997</v>
      </c>
      <c r="F10" s="56">
        <f t="shared" ref="F10" si="6">SUM(E9:E10)</f>
        <v>-640.45799999999997</v>
      </c>
    </row>
    <row r="11" spans="1:11" x14ac:dyDescent="0.35">
      <c r="A11" s="54" t="s">
        <v>57</v>
      </c>
      <c r="B11" s="16">
        <f>(0+(B8-B9))/2</f>
        <v>4620.4470000000001</v>
      </c>
      <c r="C11" s="16">
        <f>((C5+C10)+((C8+C10)+C9))/2</f>
        <v>8966.4120000000003</v>
      </c>
      <c r="D11" s="16">
        <f t="shared" ref="D11:F11" si="7">((D5+D10)+((D8+D10)+D9))/2</f>
        <v>8783.4239999999991</v>
      </c>
      <c r="E11" s="16">
        <f t="shared" si="7"/>
        <v>8600.4360000000015</v>
      </c>
      <c r="F11" s="59">
        <f t="shared" si="7"/>
        <v>3888.4949999999994</v>
      </c>
      <c r="H11" s="81"/>
      <c r="I11" s="80"/>
      <c r="J11" s="80"/>
      <c r="K11" s="78"/>
    </row>
    <row r="12" spans="1:11" x14ac:dyDescent="0.35">
      <c r="A12" s="49"/>
      <c r="B12" s="55"/>
      <c r="C12" s="55"/>
      <c r="D12" s="55"/>
      <c r="E12" s="55"/>
      <c r="F12" s="56"/>
    </row>
    <row r="13" spans="1:11" x14ac:dyDescent="0.35">
      <c r="A13" s="54" t="s">
        <v>54</v>
      </c>
      <c r="B13" s="55">
        <f>B8*Assumptions!$B$8</f>
        <v>263.50272000000001</v>
      </c>
      <c r="C13" s="55">
        <f>C8*Assumptions!$B$8</f>
        <v>263.50272000000001</v>
      </c>
      <c r="D13" s="55">
        <f>D8*Assumptions!$B$8</f>
        <v>263.50272000000001</v>
      </c>
      <c r="E13" s="55">
        <f>E8*Assumptions!$B$8</f>
        <v>263.50272000000001</v>
      </c>
      <c r="F13" s="56">
        <f>F8*Assumptions!$B$8</f>
        <v>0</v>
      </c>
    </row>
    <row r="14" spans="1:11" x14ac:dyDescent="0.35">
      <c r="A14" s="54"/>
      <c r="B14" s="55"/>
      <c r="C14" s="55"/>
      <c r="D14" s="55"/>
      <c r="E14" s="55"/>
      <c r="F14" s="56"/>
      <c r="H14" s="79"/>
    </row>
    <row r="15" spans="1:11" x14ac:dyDescent="0.35">
      <c r="A15" s="54" t="s">
        <v>3</v>
      </c>
      <c r="B15" s="55">
        <v>0</v>
      </c>
      <c r="C15" s="55">
        <v>0</v>
      </c>
      <c r="D15" s="55">
        <v>0</v>
      </c>
      <c r="E15" s="55">
        <v>0</v>
      </c>
      <c r="F15" s="56">
        <v>0</v>
      </c>
    </row>
    <row r="16" spans="1:11" x14ac:dyDescent="0.35">
      <c r="A16" s="54" t="s">
        <v>4</v>
      </c>
      <c r="B16" s="88">
        <f>-B8*2%*0.5</f>
        <v>-91.494</v>
      </c>
      <c r="C16" s="88">
        <f>-(C5+C8)/2*2%</f>
        <v>-182.988</v>
      </c>
      <c r="D16" s="88">
        <f>-(D5+D8)/2*2%</f>
        <v>-182.988</v>
      </c>
      <c r="E16" s="88">
        <f t="shared" ref="E16:F16" si="8">-(E5+E8)/2*2%</f>
        <v>-182.988</v>
      </c>
      <c r="F16" s="89">
        <f t="shared" si="8"/>
        <v>-91.494</v>
      </c>
      <c r="H16" s="80"/>
      <c r="I16" s="81"/>
      <c r="J16" s="78"/>
    </row>
    <row r="17" spans="1:6" x14ac:dyDescent="0.35">
      <c r="A17" s="54" t="s">
        <v>5</v>
      </c>
      <c r="B17" s="16">
        <f>SUM(B15:B16)</f>
        <v>-91.494</v>
      </c>
      <c r="C17" s="16">
        <f t="shared" ref="C17:D17" si="9">SUM(C15:C16)</f>
        <v>-182.988</v>
      </c>
      <c r="D17" s="16">
        <f t="shared" si="9"/>
        <v>-182.988</v>
      </c>
      <c r="E17" s="16">
        <f t="shared" ref="E17:F17" si="10">SUM(E15:E16)</f>
        <v>-182.988</v>
      </c>
      <c r="F17" s="59">
        <f t="shared" si="10"/>
        <v>-91.494</v>
      </c>
    </row>
    <row r="18" spans="1:6" x14ac:dyDescent="0.35">
      <c r="A18" s="54"/>
      <c r="B18" s="55"/>
      <c r="C18" s="55"/>
      <c r="D18" s="55"/>
      <c r="E18" s="55"/>
      <c r="F18" s="56"/>
    </row>
    <row r="19" spans="1:6" x14ac:dyDescent="0.35">
      <c r="A19" s="54" t="s">
        <v>23</v>
      </c>
      <c r="B19" s="55"/>
      <c r="C19" s="55"/>
      <c r="D19" s="55"/>
      <c r="E19" s="55"/>
      <c r="F19" s="56"/>
    </row>
    <row r="20" spans="1:6" x14ac:dyDescent="0.35">
      <c r="A20" s="54" t="s">
        <v>24</v>
      </c>
      <c r="B20" s="55">
        <f>Assumptions!$B$12*Assumptions!$B$17*B11</f>
        <v>5.0824917000000003</v>
      </c>
      <c r="C20" s="55">
        <f>Assumptions!$B$12*Assumptions!$B$17*C11</f>
        <v>9.8630532000000013</v>
      </c>
      <c r="D20" s="55">
        <f>Assumptions!$B$12*Assumptions!$B$17*D11</f>
        <v>9.6617663999999994</v>
      </c>
      <c r="E20" s="55">
        <f>Assumptions!$B$12*Assumptions!$B$17*E11</f>
        <v>9.4604796000000029</v>
      </c>
      <c r="F20" s="56">
        <f>Assumptions!$B$12*Assumptions!$B$17*F11</f>
        <v>4.2773444999999999</v>
      </c>
    </row>
    <row r="21" spans="1:6" x14ac:dyDescent="0.35">
      <c r="A21" s="54" t="s">
        <v>25</v>
      </c>
      <c r="B21" s="55">
        <f>Assumptions!$B$13*Assumptions!$B$18*B11</f>
        <v>114.36530414400002</v>
      </c>
      <c r="C21" s="55">
        <f>Assumptions!$B$13*Assumptions!$B$18*C11</f>
        <v>221.93662982400002</v>
      </c>
      <c r="D21" s="55">
        <f>Assumptions!$B$13*Assumptions!$B$18*D11</f>
        <v>217.40731084800001</v>
      </c>
      <c r="E21" s="55">
        <f>Assumptions!$B$13*Assumptions!$B$18*E11</f>
        <v>212.87799187200005</v>
      </c>
      <c r="F21" s="56">
        <f>Assumptions!$B$13*Assumptions!$B$18*F11</f>
        <v>96.248028239999996</v>
      </c>
    </row>
    <row r="22" spans="1:6" x14ac:dyDescent="0.35">
      <c r="A22" s="54" t="s">
        <v>12</v>
      </c>
      <c r="B22" s="55">
        <f>Assumptions!$B$14*Assumptions!$B$19*B11</f>
        <v>157.46483376</v>
      </c>
      <c r="C22" s="55">
        <f>Assumptions!$B$14*Assumptions!$B$19*C11</f>
        <v>305.57532096</v>
      </c>
      <c r="D22" s="55">
        <f>Assumptions!$B$14*Assumptions!$B$19*D11</f>
        <v>299.33908991999994</v>
      </c>
      <c r="E22" s="55">
        <f>Assumptions!$B$14*Assumptions!$B$19*E11</f>
        <v>293.10285888000004</v>
      </c>
      <c r="F22" s="56">
        <f>Assumptions!$B$14*Assumptions!$B$19*F11</f>
        <v>132.51990959999998</v>
      </c>
    </row>
    <row r="23" spans="1:6" x14ac:dyDescent="0.35">
      <c r="A23" s="54" t="s">
        <v>29</v>
      </c>
      <c r="B23" s="16">
        <f>SUM(B20:B22)</f>
        <v>276.91262960400002</v>
      </c>
      <c r="C23" s="16">
        <f t="shared" ref="C23:D23" si="11">SUM(C20:C22)</f>
        <v>537.37500398400005</v>
      </c>
      <c r="D23" s="16">
        <f t="shared" si="11"/>
        <v>526.40816716799998</v>
      </c>
      <c r="E23" s="16">
        <f t="shared" ref="E23:F23" si="12">SUM(E20:E22)</f>
        <v>515.44133035200014</v>
      </c>
      <c r="F23" s="59">
        <f t="shared" si="12"/>
        <v>233.04528233999997</v>
      </c>
    </row>
    <row r="24" spans="1:6" x14ac:dyDescent="0.35">
      <c r="A24" s="54"/>
      <c r="B24" s="55"/>
      <c r="C24" s="55"/>
      <c r="D24" s="55"/>
      <c r="E24" s="55"/>
      <c r="F24" s="56"/>
    </row>
    <row r="25" spans="1:6" x14ac:dyDescent="0.35">
      <c r="A25" s="54"/>
      <c r="B25" s="55"/>
      <c r="C25" s="55"/>
      <c r="D25" s="55"/>
      <c r="E25" s="55"/>
      <c r="F25" s="56"/>
    </row>
    <row r="26" spans="1:6" x14ac:dyDescent="0.35">
      <c r="A26" s="49" t="s">
        <v>61</v>
      </c>
      <c r="B26" s="55"/>
      <c r="C26" s="55"/>
      <c r="D26" s="55"/>
      <c r="E26" s="55"/>
      <c r="F26" s="56"/>
    </row>
    <row r="27" spans="1:6" x14ac:dyDescent="0.35">
      <c r="A27" s="54" t="s">
        <v>31</v>
      </c>
      <c r="B27" s="55"/>
      <c r="C27" s="55"/>
      <c r="D27" s="55"/>
      <c r="E27" s="55"/>
      <c r="F27" s="56"/>
    </row>
    <row r="28" spans="1:6" x14ac:dyDescent="0.35">
      <c r="A28" s="54" t="s">
        <v>32</v>
      </c>
      <c r="B28" s="55">
        <f>B6</f>
        <v>9149.4</v>
      </c>
      <c r="C28" s="55">
        <v>0</v>
      </c>
      <c r="D28" s="55">
        <v>0</v>
      </c>
      <c r="E28" s="55">
        <v>0</v>
      </c>
      <c r="F28" s="56">
        <v>0</v>
      </c>
    </row>
    <row r="29" spans="1:6" x14ac:dyDescent="0.35">
      <c r="A29" s="54" t="s">
        <v>34</v>
      </c>
      <c r="B29" s="55">
        <f>B7</f>
        <v>0</v>
      </c>
      <c r="C29" s="55">
        <v>0</v>
      </c>
      <c r="D29" s="55">
        <v>0</v>
      </c>
      <c r="E29" s="55">
        <v>0</v>
      </c>
      <c r="F29" s="56">
        <v>0</v>
      </c>
    </row>
    <row r="30" spans="1:6" x14ac:dyDescent="0.35">
      <c r="A30" s="54" t="s">
        <v>33</v>
      </c>
      <c r="B30" s="55">
        <f>B28-B29</f>
        <v>9149.4</v>
      </c>
      <c r="C30" s="55">
        <f t="shared" ref="C30:D30" si="13">C28-C29</f>
        <v>0</v>
      </c>
      <c r="D30" s="55">
        <f t="shared" si="13"/>
        <v>0</v>
      </c>
      <c r="E30" s="55">
        <f t="shared" ref="E30:F30" si="14">E28-E29</f>
        <v>0</v>
      </c>
      <c r="F30" s="56">
        <f t="shared" si="14"/>
        <v>0</v>
      </c>
    </row>
    <row r="31" spans="1:6" x14ac:dyDescent="0.35">
      <c r="A31" s="54" t="s">
        <v>47</v>
      </c>
      <c r="B31" s="55" t="s">
        <v>35</v>
      </c>
      <c r="C31" s="55">
        <f>B37</f>
        <v>8783.4239999999991</v>
      </c>
      <c r="D31" s="55">
        <f t="shared" ref="D31:E31" si="15">C37</f>
        <v>8080.7500799999989</v>
      </c>
      <c r="E31" s="55">
        <f t="shared" si="15"/>
        <v>7434.2900735999992</v>
      </c>
      <c r="F31" s="56">
        <f t="shared" ref="F31" si="16">E37</f>
        <v>6839.5468677119989</v>
      </c>
    </row>
    <row r="32" spans="1:6" x14ac:dyDescent="0.35">
      <c r="A32" s="54" t="s">
        <v>36</v>
      </c>
      <c r="B32" s="55" t="str">
        <f>B31</f>
        <v>0</v>
      </c>
      <c r="C32" s="55">
        <f t="shared" ref="C32:D32" si="17">C31</f>
        <v>8783.4239999999991</v>
      </c>
      <c r="D32" s="55">
        <f t="shared" si="17"/>
        <v>8080.7500799999989</v>
      </c>
      <c r="E32" s="55">
        <f t="shared" ref="E32:F32" si="18">E31</f>
        <v>7434.2900735999992</v>
      </c>
      <c r="F32" s="56">
        <f t="shared" si="18"/>
        <v>6839.5468677119989</v>
      </c>
    </row>
    <row r="33" spans="1:7" x14ac:dyDescent="0.35">
      <c r="A33" s="54" t="s">
        <v>48</v>
      </c>
      <c r="B33" s="55">
        <f>B30*0.5</f>
        <v>4574.7</v>
      </c>
      <c r="C33" s="55">
        <f t="shared" ref="C33:D33" si="19">C30*0.5</f>
        <v>0</v>
      </c>
      <c r="D33" s="55">
        <f t="shared" si="19"/>
        <v>0</v>
      </c>
      <c r="E33" s="55">
        <f t="shared" ref="E33:F33" si="20">E30*0.5</f>
        <v>0</v>
      </c>
      <c r="F33" s="56">
        <f t="shared" si="20"/>
        <v>0</v>
      </c>
    </row>
    <row r="34" spans="1:7" x14ac:dyDescent="0.35">
      <c r="A34" s="54" t="s">
        <v>49</v>
      </c>
      <c r="B34" s="15">
        <f>B32+B33</f>
        <v>4574.7</v>
      </c>
      <c r="C34" s="15">
        <f t="shared" ref="C34:D34" si="21">C32+C33</f>
        <v>8783.4239999999991</v>
      </c>
      <c r="D34" s="15">
        <f t="shared" si="21"/>
        <v>8080.7500799999989</v>
      </c>
      <c r="E34" s="15">
        <f t="shared" ref="E34:F34" si="22">E32+E33</f>
        <v>7434.2900735999992</v>
      </c>
      <c r="F34" s="60">
        <f t="shared" si="22"/>
        <v>6839.5468677119989</v>
      </c>
    </row>
    <row r="35" spans="1:7" x14ac:dyDescent="0.35">
      <c r="A35" s="54" t="s">
        <v>38</v>
      </c>
      <c r="B35" s="61">
        <v>0.08</v>
      </c>
      <c r="C35" s="61">
        <v>0.08</v>
      </c>
      <c r="D35" s="61">
        <f>C35</f>
        <v>0.08</v>
      </c>
      <c r="E35" s="61">
        <v>0.08</v>
      </c>
      <c r="F35" s="62">
        <f t="shared" ref="F35" si="23">E35</f>
        <v>0.08</v>
      </c>
    </row>
    <row r="36" spans="1:7" ht="43.5" x14ac:dyDescent="0.35">
      <c r="A36" s="54" t="s">
        <v>37</v>
      </c>
      <c r="B36" s="63">
        <f>B34*B35</f>
        <v>365.976</v>
      </c>
      <c r="C36" s="63">
        <f t="shared" ref="C36:D36" si="24">C34*C35</f>
        <v>702.67391999999995</v>
      </c>
      <c r="D36" s="63">
        <f t="shared" si="24"/>
        <v>646.46000639999988</v>
      </c>
      <c r="E36" s="63">
        <f t="shared" ref="E36:F36" si="25">E34*E35</f>
        <v>594.74320588799992</v>
      </c>
      <c r="F36" s="64">
        <f t="shared" si="25"/>
        <v>547.16374941695994</v>
      </c>
    </row>
    <row r="37" spans="1:7" x14ac:dyDescent="0.35">
      <c r="A37" s="54" t="s">
        <v>39</v>
      </c>
      <c r="B37" s="17">
        <f>B30+B31-B36</f>
        <v>8783.4239999999991</v>
      </c>
      <c r="C37" s="17">
        <f t="shared" ref="C37:D37" si="26">C30+C31-C36</f>
        <v>8080.7500799999989</v>
      </c>
      <c r="D37" s="17">
        <f t="shared" si="26"/>
        <v>7434.2900735999992</v>
      </c>
      <c r="E37" s="17">
        <f t="shared" ref="E37:F37" si="27">E30+E31-E36</f>
        <v>6839.5468677119989</v>
      </c>
      <c r="F37" s="65">
        <f t="shared" si="27"/>
        <v>6292.3831182950389</v>
      </c>
    </row>
    <row r="38" spans="1:7" x14ac:dyDescent="0.35">
      <c r="A38" s="54"/>
      <c r="B38" s="55"/>
      <c r="C38" s="55"/>
      <c r="D38" s="55"/>
      <c r="E38" s="55"/>
      <c r="F38" s="56"/>
    </row>
    <row r="39" spans="1:7" ht="29" x14ac:dyDescent="0.35">
      <c r="A39" s="49" t="s">
        <v>62</v>
      </c>
      <c r="B39" s="55"/>
      <c r="C39" s="55"/>
      <c r="D39" s="55"/>
      <c r="E39" s="55"/>
      <c r="F39" s="56"/>
    </row>
    <row r="40" spans="1:7" x14ac:dyDescent="0.35">
      <c r="A40" s="66" t="s">
        <v>63</v>
      </c>
      <c r="B40" s="55">
        <f>B13</f>
        <v>263.50272000000001</v>
      </c>
      <c r="C40" s="55">
        <f t="shared" ref="C40:D40" si="28">C13</f>
        <v>263.50272000000001</v>
      </c>
      <c r="D40" s="55">
        <f t="shared" si="28"/>
        <v>263.50272000000001</v>
      </c>
      <c r="E40" s="55">
        <f t="shared" ref="E40:F40" si="29">E13</f>
        <v>263.50272000000001</v>
      </c>
      <c r="F40" s="56">
        <f t="shared" si="29"/>
        <v>0</v>
      </c>
    </row>
    <row r="41" spans="1:7" x14ac:dyDescent="0.35">
      <c r="A41" s="66" t="s">
        <v>40</v>
      </c>
      <c r="B41" s="55"/>
      <c r="C41" s="55"/>
      <c r="D41" s="55"/>
      <c r="E41" s="55"/>
      <c r="F41" s="56"/>
    </row>
    <row r="42" spans="1:7" x14ac:dyDescent="0.35">
      <c r="A42" s="66" t="s">
        <v>89</v>
      </c>
      <c r="B42" s="55">
        <f>-SUM(B20:B21)</f>
        <v>-119.44779584400003</v>
      </c>
      <c r="C42" s="55">
        <f>-SUM(C20:C21)</f>
        <v>-231.79968302400002</v>
      </c>
      <c r="D42" s="55">
        <f>-SUM(D20:D21)</f>
        <v>-227.06907724800001</v>
      </c>
      <c r="E42" s="55">
        <f t="shared" ref="E42" si="30">-SUM(E20:E21)</f>
        <v>-222.33847147200007</v>
      </c>
      <c r="F42" s="56">
        <f>-SUM(F20:F21)</f>
        <v>-100.52537273999999</v>
      </c>
      <c r="G42" s="78"/>
    </row>
    <row r="43" spans="1:7" x14ac:dyDescent="0.35">
      <c r="A43" s="66" t="s">
        <v>41</v>
      </c>
      <c r="B43" s="16">
        <f>SUM(B42)</f>
        <v>-119.44779584400003</v>
      </c>
      <c r="C43" s="16">
        <f t="shared" ref="C43:D43" si="31">SUM(C42)</f>
        <v>-231.79968302400002</v>
      </c>
      <c r="D43" s="16">
        <f t="shared" si="31"/>
        <v>-227.06907724800001</v>
      </c>
      <c r="E43" s="16">
        <f t="shared" ref="E43:F43" si="32">SUM(E42)</f>
        <v>-222.33847147200007</v>
      </c>
      <c r="F43" s="59">
        <f t="shared" si="32"/>
        <v>-100.52537273999999</v>
      </c>
    </row>
    <row r="44" spans="1:7" x14ac:dyDescent="0.35">
      <c r="A44" s="67"/>
      <c r="B44" s="55"/>
      <c r="C44" s="55"/>
      <c r="D44" s="55"/>
      <c r="E44" s="55"/>
      <c r="F44" s="56"/>
    </row>
    <row r="45" spans="1:7" x14ac:dyDescent="0.35">
      <c r="A45" s="66" t="s">
        <v>31</v>
      </c>
      <c r="B45" s="55">
        <f>-B36</f>
        <v>-365.976</v>
      </c>
      <c r="C45" s="55">
        <f>-C36</f>
        <v>-702.67391999999995</v>
      </c>
      <c r="D45" s="55">
        <f>-D36</f>
        <v>-646.46000639999988</v>
      </c>
      <c r="E45" s="55">
        <f t="shared" ref="E45:F45" si="33">-E36</f>
        <v>-594.74320588799992</v>
      </c>
      <c r="F45" s="56">
        <f t="shared" si="33"/>
        <v>-547.16374941695994</v>
      </c>
    </row>
    <row r="46" spans="1:7" x14ac:dyDescent="0.35">
      <c r="A46" s="66" t="s">
        <v>42</v>
      </c>
      <c r="B46" s="15">
        <f>B40+B43+B45</f>
        <v>-221.92107584400003</v>
      </c>
      <c r="C46" s="15">
        <f>C40+C43+C45</f>
        <v>-670.97088302399993</v>
      </c>
      <c r="D46" s="15">
        <f>D40+D43+D45</f>
        <v>-610.02636364799991</v>
      </c>
      <c r="E46" s="15">
        <f t="shared" ref="E46:F46" si="34">E40+E43+E45</f>
        <v>-553.57895736</v>
      </c>
      <c r="F46" s="60">
        <f t="shared" si="34"/>
        <v>-647.68912215695991</v>
      </c>
    </row>
    <row r="47" spans="1:7" x14ac:dyDescent="0.35">
      <c r="A47" s="66" t="s">
        <v>65</v>
      </c>
      <c r="B47" s="55">
        <f>-B46*Assumptions!$B$24</f>
        <v>58.809085098660013</v>
      </c>
      <c r="C47" s="55">
        <f>-C46*Assumptions!$B$24</f>
        <v>177.80728400135999</v>
      </c>
      <c r="D47" s="55">
        <f>-D46*Assumptions!$B$24</f>
        <v>161.65698636671999</v>
      </c>
      <c r="E47" s="55">
        <f>-E46*Assumptions!$B$24</f>
        <v>146.69842370040001</v>
      </c>
      <c r="F47" s="56">
        <f>-F46*Assumptions!$B$24</f>
        <v>171.63761737159439</v>
      </c>
    </row>
    <row r="48" spans="1:7" x14ac:dyDescent="0.35">
      <c r="A48" s="66" t="s">
        <v>64</v>
      </c>
      <c r="B48" s="55">
        <v>0</v>
      </c>
      <c r="C48" s="55">
        <f>-C7*Assumptions!$B$24</f>
        <v>0</v>
      </c>
      <c r="D48" s="55">
        <f>-D7*Assumptions!$B$24</f>
        <v>0</v>
      </c>
      <c r="E48" s="55">
        <f>-E7*Assumptions!$B$24</f>
        <v>0</v>
      </c>
      <c r="F48" s="56">
        <f>-F7*Assumptions!$B$24</f>
        <v>-2424.5909999999999</v>
      </c>
    </row>
    <row r="49" spans="1:7" x14ac:dyDescent="0.35">
      <c r="A49" s="66" t="s">
        <v>53</v>
      </c>
      <c r="B49" s="55">
        <f>B17</f>
        <v>-91.494</v>
      </c>
      <c r="C49" s="55">
        <f>C17</f>
        <v>-182.988</v>
      </c>
      <c r="D49" s="55">
        <f>D17</f>
        <v>-182.988</v>
      </c>
      <c r="E49" s="55">
        <f t="shared" ref="E49:F49" si="35">E17</f>
        <v>-182.988</v>
      </c>
      <c r="F49" s="56">
        <f t="shared" si="35"/>
        <v>-91.494</v>
      </c>
    </row>
    <row r="50" spans="1:7" x14ac:dyDescent="0.35">
      <c r="A50" s="66" t="s">
        <v>6</v>
      </c>
      <c r="B50" s="16">
        <f>B40+B47+B48+B49</f>
        <v>230.81780509866005</v>
      </c>
      <c r="C50" s="16">
        <f>C40+C47+C48+C49</f>
        <v>258.32200400135997</v>
      </c>
      <c r="D50" s="16">
        <f>D40+D47+D48+D49</f>
        <v>242.17170636672</v>
      </c>
      <c r="E50" s="16">
        <f t="shared" ref="E50:F50" si="36">E40+E47+E48+E49</f>
        <v>227.21314370040005</v>
      </c>
      <c r="F50" s="59">
        <f t="shared" si="36"/>
        <v>-2344.4473826284056</v>
      </c>
    </row>
    <row r="51" spans="1:7" x14ac:dyDescent="0.35">
      <c r="A51" s="68"/>
      <c r="B51" s="55"/>
      <c r="C51" s="55"/>
      <c r="D51" s="55"/>
      <c r="E51" s="55"/>
      <c r="F51" s="56"/>
    </row>
    <row r="52" spans="1:7" x14ac:dyDescent="0.35">
      <c r="A52" s="69"/>
      <c r="B52" s="55"/>
      <c r="C52" s="55"/>
      <c r="D52" s="55"/>
      <c r="E52" s="55"/>
      <c r="F52" s="56"/>
    </row>
    <row r="53" spans="1:7" x14ac:dyDescent="0.35">
      <c r="A53" s="54" t="s">
        <v>59</v>
      </c>
      <c r="B53" s="55">
        <f>B23</f>
        <v>276.91262960400002</v>
      </c>
      <c r="C53" s="55">
        <f>C23</f>
        <v>537.37500398400005</v>
      </c>
      <c r="D53" s="55">
        <f>D23</f>
        <v>526.40816716799998</v>
      </c>
      <c r="E53" s="55">
        <f t="shared" ref="E53:F53" si="37">E23</f>
        <v>515.44133035200014</v>
      </c>
      <c r="F53" s="56">
        <f t="shared" si="37"/>
        <v>233.04528233999997</v>
      </c>
    </row>
    <row r="54" spans="1:7" x14ac:dyDescent="0.35">
      <c r="A54" s="54" t="s">
        <v>85</v>
      </c>
      <c r="B54" s="55">
        <f>B50-B53</f>
        <v>-46.094824505339972</v>
      </c>
      <c r="C54" s="55">
        <f t="shared" ref="C54:D54" si="38">C50-C53</f>
        <v>-279.05299998264007</v>
      </c>
      <c r="D54" s="55">
        <f t="shared" si="38"/>
        <v>-284.23646080127997</v>
      </c>
      <c r="E54" s="55">
        <f t="shared" ref="E54:F54" si="39">E50-E53</f>
        <v>-288.22818665160008</v>
      </c>
      <c r="F54" s="56">
        <f t="shared" si="39"/>
        <v>-2577.4926649684057</v>
      </c>
    </row>
    <row r="55" spans="1:7" x14ac:dyDescent="0.35">
      <c r="A55" s="54" t="s">
        <v>45</v>
      </c>
      <c r="B55" s="55">
        <f>B54/(1-Assumptions!$B$24)-B54</f>
        <v>-16.61922244070081</v>
      </c>
      <c r="C55" s="55">
        <f>C54/(1-Assumptions!$B$24)-C54</f>
        <v>-100.61094557197225</v>
      </c>
      <c r="D55" s="55">
        <f>D54/(1-Assumptions!$B$24)-D54</f>
        <v>-102.47981239774043</v>
      </c>
      <c r="E55" s="55">
        <f>E54/(1-Assumptions!$B$24)-E54</f>
        <v>-103.91900607166536</v>
      </c>
      <c r="F55" s="56">
        <f>F54/(1-Assumptions!$B$24)-F54</f>
        <v>-929.30007648520768</v>
      </c>
    </row>
    <row r="56" spans="1:7" x14ac:dyDescent="0.35">
      <c r="A56" s="49" t="s">
        <v>86</v>
      </c>
      <c r="B56" s="16">
        <f>SUM(B54:B55)</f>
        <v>-62.714046946040781</v>
      </c>
      <c r="C56" s="16">
        <f t="shared" ref="C56:D56" si="40">SUM(C54:C55)</f>
        <v>-379.66394555461233</v>
      </c>
      <c r="D56" s="16">
        <f t="shared" si="40"/>
        <v>-386.71627319902041</v>
      </c>
      <c r="E56" s="16">
        <f t="shared" ref="E56:F56" si="41">SUM(E54:E55)</f>
        <v>-392.14719272326545</v>
      </c>
      <c r="F56" s="59">
        <f t="shared" si="41"/>
        <v>-3506.7927414536134</v>
      </c>
      <c r="G56" s="80"/>
    </row>
    <row r="57" spans="1:7" x14ac:dyDescent="0.35">
      <c r="A57" s="70"/>
      <c r="B57" s="71"/>
      <c r="C57" s="71"/>
      <c r="D57" s="71"/>
      <c r="E57" s="71"/>
      <c r="F57" s="72"/>
    </row>
  </sheetData>
  <phoneticPr fontId="9" type="noConversion"/>
  <pageMargins left="0.7" right="0.7" top="0.75" bottom="0.75" header="0.3" footer="0.3"/>
  <pageSetup scale="7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opLeftCell="A43" workbookViewId="0">
      <selection activeCell="B19" sqref="B19"/>
    </sheetView>
  </sheetViews>
  <sheetFormatPr defaultColWidth="8.90625" defaultRowHeight="14.5" x14ac:dyDescent="0.35"/>
  <cols>
    <col min="1" max="1" width="50.81640625" style="6" customWidth="1"/>
    <col min="2" max="2" width="23.90625" style="6" customWidth="1"/>
    <col min="3" max="16384" width="8.90625" style="6"/>
  </cols>
  <sheetData>
    <row r="1" spans="1:14" ht="18.5" x14ac:dyDescent="0.45">
      <c r="A1" s="73" t="s">
        <v>82</v>
      </c>
    </row>
    <row r="2" spans="1:14" x14ac:dyDescent="0.35">
      <c r="A2" s="5" t="s">
        <v>60</v>
      </c>
      <c r="C2" s="2"/>
      <c r="D2" s="2"/>
      <c r="G2" s="2"/>
      <c r="H2" s="2"/>
      <c r="K2" s="2"/>
      <c r="N2" s="2"/>
    </row>
    <row r="3" spans="1:14" x14ac:dyDescent="0.35">
      <c r="A3" s="7" t="s">
        <v>0</v>
      </c>
      <c r="B3" s="3">
        <v>0</v>
      </c>
      <c r="C3" s="2"/>
      <c r="D3" s="2"/>
      <c r="G3" s="2"/>
      <c r="H3" s="2"/>
      <c r="K3" s="2"/>
      <c r="N3" s="2"/>
    </row>
    <row r="4" spans="1:14" x14ac:dyDescent="0.35">
      <c r="A4" s="7" t="s">
        <v>78</v>
      </c>
      <c r="B4" s="3">
        <f>47396.8-38247.4</f>
        <v>9149.4000000000015</v>
      </c>
      <c r="C4" s="2"/>
      <c r="D4" s="2"/>
      <c r="E4" s="2"/>
      <c r="F4" s="2"/>
      <c r="G4" s="2"/>
      <c r="H4" s="2"/>
      <c r="K4" s="2"/>
      <c r="N4" s="2"/>
    </row>
    <row r="5" spans="1:14" x14ac:dyDescent="0.35">
      <c r="A5" s="7" t="s">
        <v>79</v>
      </c>
      <c r="B5" s="8">
        <f>SUM(B3:B4)</f>
        <v>9149.4000000000015</v>
      </c>
      <c r="C5" s="2"/>
      <c r="D5" s="2"/>
      <c r="E5" s="2"/>
      <c r="F5" s="2"/>
      <c r="G5" s="2"/>
      <c r="H5" s="2"/>
      <c r="K5" s="2"/>
      <c r="N5" s="2"/>
    </row>
    <row r="7" spans="1:14" x14ac:dyDescent="0.35">
      <c r="A7" s="9" t="s">
        <v>20</v>
      </c>
      <c r="B7" s="2"/>
    </row>
    <row r="8" spans="1:14" x14ac:dyDescent="0.35">
      <c r="A8" s="7" t="s">
        <v>21</v>
      </c>
      <c r="B8" s="4">
        <v>2.8799999999999999E-2</v>
      </c>
    </row>
    <row r="9" spans="1:14" x14ac:dyDescent="0.35">
      <c r="A9" s="7"/>
    </row>
    <row r="11" spans="1:14" x14ac:dyDescent="0.35">
      <c r="A11" s="11" t="s">
        <v>7</v>
      </c>
      <c r="B11" s="12"/>
    </row>
    <row r="12" spans="1:14" x14ac:dyDescent="0.35">
      <c r="A12" s="7" t="s">
        <v>9</v>
      </c>
      <c r="B12" s="4">
        <v>0.04</v>
      </c>
      <c r="G12" s="7"/>
    </row>
    <row r="13" spans="1:14" x14ac:dyDescent="0.35">
      <c r="A13" s="7" t="s">
        <v>84</v>
      </c>
      <c r="B13" s="4">
        <v>0.56000000000000005</v>
      </c>
    </row>
    <row r="14" spans="1:14" x14ac:dyDescent="0.35">
      <c r="A14" s="7" t="s">
        <v>10</v>
      </c>
      <c r="B14" s="4">
        <v>0.4</v>
      </c>
    </row>
    <row r="16" spans="1:14" x14ac:dyDescent="0.35">
      <c r="A16" s="11" t="s">
        <v>11</v>
      </c>
      <c r="B16" s="13"/>
    </row>
    <row r="17" spans="1:2" x14ac:dyDescent="0.35">
      <c r="A17" s="7" t="s">
        <v>9</v>
      </c>
      <c r="B17" s="4">
        <v>2.75E-2</v>
      </c>
    </row>
    <row r="18" spans="1:2" x14ac:dyDescent="0.35">
      <c r="A18" s="7" t="s">
        <v>8</v>
      </c>
      <c r="B18" s="4">
        <v>4.4200000000000003E-2</v>
      </c>
    </row>
    <row r="19" spans="1:2" x14ac:dyDescent="0.35">
      <c r="A19" s="7" t="s">
        <v>12</v>
      </c>
      <c r="B19" s="4">
        <v>8.5199999999999998E-2</v>
      </c>
    </row>
    <row r="21" spans="1:2" x14ac:dyDescent="0.35">
      <c r="A21" s="11" t="s">
        <v>13</v>
      </c>
      <c r="B21" s="14"/>
    </row>
    <row r="22" spans="1:2" x14ac:dyDescent="0.35">
      <c r="A22" s="7" t="s">
        <v>14</v>
      </c>
      <c r="B22" s="4">
        <v>0.15</v>
      </c>
    </row>
    <row r="23" spans="1:2" x14ac:dyDescent="0.35">
      <c r="A23" s="7" t="s">
        <v>15</v>
      </c>
      <c r="B23" s="4">
        <v>0.115</v>
      </c>
    </row>
    <row r="24" spans="1:2" x14ac:dyDescent="0.35">
      <c r="A24" s="7" t="s">
        <v>16</v>
      </c>
      <c r="B24" s="10">
        <v>0.26500000000000001</v>
      </c>
    </row>
    <row r="25" spans="1:2" x14ac:dyDescent="0.35">
      <c r="A25" s="7"/>
    </row>
    <row r="26" spans="1:2" x14ac:dyDescent="0.35">
      <c r="A26" s="21" t="s">
        <v>74</v>
      </c>
    </row>
  </sheetData>
  <dataValidations count="2">
    <dataValidation type="decimal" allowBlank="1" showInputMessage="1" showErrorMessage="1" sqref="B22:B23 B12:B13 B14 B17:B18 B19">
      <formula1>-9999999999999</formula1>
      <formula2>9999999999999</formula2>
    </dataValidation>
    <dataValidation type="decimal" allowBlank="1" showInputMessage="1" showErrorMessage="1" sqref="B4">
      <formula1>-9.99999999999999E+34</formula1>
      <formula2>9.99999999999999E+35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gulatory Affairs Proceeding" ma:contentTypeID="0x01010061EC7F66509FFD4DA0B1B261A86BE773005B75BF1C853B5A49BFBE76CEFBF5D364" ma:contentTypeVersion="30" ma:contentTypeDescription="Meta data that will be applied to all documents added to the proceeding document folder" ma:contentTypeScope="" ma:versionID="7c21b0ea4694858ad279b2862f6dcb33">
  <xsd:schema xmlns:xsd="http://www.w3.org/2001/XMLSchema" xmlns:xs="http://www.w3.org/2001/XMLSchema" xmlns:p="http://schemas.microsoft.com/office/2006/metadata/properties" xmlns:ns2="f9175001-c430-4d57-adde-c1c10539e919" xmlns:ns3="ea909525-6dd5-47d7-9eed-71e77e5cedc6" xmlns:ns4="f0af1d65-dfd0-4b99-b523-def3a954563f" xmlns:ns5="31a38067-a042-4e0e-9037-517587b10700" xmlns:ns6="95f47813-6223-4a6f-8345-4f354f0b8e15" targetNamespace="http://schemas.microsoft.com/office/2006/metadata/properties" ma:root="true" ma:fieldsID="59412ebfb5171d7d5d65d2b459f90eb4" ns2:_="" ns3:_="" ns4:_="" ns5:_="" ns6:_="">
    <xsd:import namespace="f9175001-c430-4d57-adde-c1c10539e919"/>
    <xsd:import namespace="ea909525-6dd5-47d7-9eed-71e77e5cedc6"/>
    <xsd:import namespace="f0af1d65-dfd0-4b99-b523-def3a954563f"/>
    <xsd:import namespace="31a38067-a042-4e0e-9037-517587b10700"/>
    <xsd:import namespace="95f47813-6223-4a6f-8345-4f354f0b8e15"/>
    <xsd:element name="properties">
      <xsd:complexType>
        <xsd:sequence>
          <xsd:element name="documentManagement">
            <xsd:complexType>
              <xsd:all>
                <xsd:element ref="ns2:Applicant" minOccurs="0"/>
                <xsd:element ref="ns2:Case_x0020_Number_x002f_Docket_x0020_Number" minOccurs="0"/>
                <xsd:element ref="ns2:Case_x0020_Type"/>
                <xsd:element ref="ns2:Document_x0020_Type"/>
                <xsd:element ref="ns2:Issue_x0020_Date"/>
                <xsd:element ref="ns2:Jurisdiction"/>
                <xsd:element ref="ns3:Authoring_x0020_Party" minOccurs="0"/>
                <xsd:element ref="ns3:Filing_x0020_Status" minOccurs="0"/>
                <xsd:element ref="ns4:Hydro_x0020_One_x0020_Data_x0020_Classification" minOccurs="0"/>
                <xsd:element ref="ns5:RA_x0020_Contact" minOccurs="0"/>
                <xsd:element ref="ns4:_dlc_DocId" minOccurs="0"/>
                <xsd:element ref="ns4:_dlc_DocIdUrl" minOccurs="0"/>
                <xsd:element ref="ns4:_dlc_DocIdPersistId" minOccurs="0"/>
                <xsd:element ref="ns6:Witness" minOccurs="0"/>
                <xsd:element ref="ns6:Draft_x0020_Ready" minOccurs="0"/>
                <xsd:element ref="ns6:RA_x0020_Approved" minOccurs="0"/>
                <xsd:element ref="ns6:Dir_Approved" minOccurs="0"/>
                <xsd:element ref="ns6:Dir_x0020_Approve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Applicant" ma:index="8" nillable="true" ma:displayName="Applicant" ma:default="Hydro One Networks" ma:description="Applicant(s) for the case" ma:internalName="Applicant" ma:requiredMultiChoice="true">
      <xsd:complexType>
        <xsd:complexContent>
          <xsd:extension base="dms:MultiChoiceFillIn">
            <xsd:sequence>
              <xsd:element name="Value" maxOccurs="unbounded" minOccurs="0" nillable="true">
                <xsd:simpleType>
                  <xsd:union memberTypes="dms:Text">
                    <xsd:simpleType>
                      <xsd:restriction base="dms:Choice">
                        <xsd:enumeration value="Hydro One Networks"/>
                        <xsd:enumeration value="Enbridge Gas Distribution"/>
                        <xsd:enumeration value="Union Gas Limited"/>
                        <xsd:enumeration value="Toronto Hydro Electric System"/>
                        <xsd:enumeration value="Enersource"/>
                        <xsd:enumeration value="Hydro Ottawa"/>
                        <xsd:enumeration value="Powerstream"/>
                        <xsd:enumeration value="Veridian Connections"/>
                        <xsd:enumeration value="Great Lakes Power"/>
                        <xsd:enumeration value="Ontario Power Generation"/>
                        <xsd:enumeration value="Independent Electricity System Operator"/>
                        <xsd:enumeration value="Ontario Power Authority"/>
                        <xsd:enumeration value="Ontario Energy Board"/>
                        <xsd:enumeration value="Hydro One Brampton"/>
                        <xsd:enumeration value="Hydro One Remote Communities"/>
                      </xsd:restriction>
                    </xsd:simpleType>
                  </xsd:union>
                </xsd:simpleType>
              </xsd:element>
            </xsd:sequence>
          </xsd:extension>
        </xsd:complexContent>
      </xsd:complexType>
    </xsd:element>
    <xsd:element name="Case_x0020_Number_x002f_Docket_x0020_Number" ma:index="9" nillable="true" ma:displayName="Case Number/Docket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  <xsd:element name="Case_x0020_Type" ma:index="10" ma:displayName="Case Type" ma:default="Electricity" ma:description="Select the type of proceeding this document pertains to." ma:format="RadioButtons" ma:internalName="Case_x0020_Type">
      <xsd:simpleType>
        <xsd:restriction base="dms:Choice">
          <xsd:enumeration value="Electricity"/>
          <xsd:enumeration value="Gas"/>
          <xsd:enumeration value="Electric &amp; Gas"/>
        </xsd:restriction>
      </xsd:simpleType>
    </xsd:element>
    <xsd:element name="Document_x0020_Type" ma:index="11" ma:displayName="Document Type" ma:default="Correspondence" ma:description="Please choose the type of document being submitted." ma:format="Dropdown" ma:internalName="Document_x0020_Type" ma:readOnly="false">
      <xsd:simpleType>
        <xsd:restriction base="dms:Choice">
          <xsd:enumeration value="Affidavit"/>
          <xsd:enumeration value="Codes and Guidelines"/>
          <xsd:enumeration value="Comment Letter or Email"/>
          <xsd:enumeration value="Correspondence"/>
          <xsd:enumeration value="Cost Award Claim"/>
          <xsd:enumeration value="Cross-Examination Material"/>
          <xsd:enumeration value="Decision"/>
          <xsd:enumeration value="Decision and Order"/>
          <xsd:enumeration value="Exhibit List"/>
          <xsd:enumeration value="Final Argument"/>
          <xsd:enumeration value="Interrogatory Question"/>
          <xsd:enumeration value="Interrogatory Response"/>
          <xsd:enumeration value="Intervenor Evidence"/>
          <xsd:enumeration value="Intervention"/>
          <xsd:enumeration value="Issues List"/>
          <xsd:enumeration value="Invoice"/>
          <xsd:enumeration value="Letter of Direction"/>
          <xsd:enumeration value="Licence"/>
          <xsd:enumeration value="Miscellaneous Exhibit"/>
          <xsd:enumeration value="Motion"/>
          <xsd:enumeration value="Notice"/>
          <xsd:enumeration value="OEB Report"/>
          <xsd:enumeration value="Old Licence"/>
          <xsd:enumeration value="Order"/>
          <xsd:enumeration value="Prefiled evidence"/>
          <xsd:enumeration value="Procedural Order"/>
          <xsd:enumeration value="Regulation"/>
          <xsd:enumeration value="Settlement Agreement"/>
          <xsd:enumeration value="Statute"/>
          <xsd:enumeration value="Submission"/>
          <xsd:enumeration value="Transcript"/>
          <xsd:enumeration value="Undertaking"/>
          <xsd:enumeration value="Working Document"/>
        </xsd:restriction>
      </xsd:simpleType>
    </xsd:element>
    <xsd:element name="Issue_x0020_Date" ma:index="12" ma:displayName="Issue Date" ma:description="Date the document was issued." ma:format="DateOnly" ma:internalName="Issue_x0020_Date">
      <xsd:simpleType>
        <xsd:restriction base="dms:DateTime"/>
      </xsd:simpleType>
    </xsd:element>
    <xsd:element name="Jurisdiction" ma:index="13" ma:displayName="Jurisdiction" ma:default="OEB" ma:description="Jurisdiction the proceeding is happening in." ma:format="RadioButtons" ma:internalName="Jurisdiction">
      <xsd:simpleType>
        <xsd:restriction base="dms:Choice">
          <xsd:enumeration value="OEB"/>
          <xsd:enumeration value="Canada"/>
          <xsd:enumeration value="United States"/>
          <xsd:enumeration value="Other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909525-6dd5-47d7-9eed-71e77e5cedc6" elementFormDefault="qualified">
    <xsd:import namespace="http://schemas.microsoft.com/office/2006/documentManagement/types"/>
    <xsd:import namespace="http://schemas.microsoft.com/office/infopath/2007/PartnerControls"/>
    <xsd:element name="Authoring_x0020_Party" ma:index="14" nillable="true" ma:displayName="Authoring Party" ma:default="Hydro One Networks - HONI" ma:format="Dropdown" ma:internalName="Authoring_x0020_Party" ma:readOnly="false">
      <xsd:simpleType>
        <xsd:union memberTypes="dms:Text">
          <xsd:simpleType>
            <xsd:restriction base="dms:Choice">
              <xsd:enumeration value="Hydro One Networks - HONI"/>
              <xsd:enumeration value="Ontario Energy Board - OEB"/>
              <xsd:enumeration value="Algoma Power Inc. - API"/>
              <xsd:enumeration value="Association of Major Power Consumers in Ontario - AMPCO"/>
              <xsd:enumeration value="Association of Power Producers of Ontario - APPrO"/>
              <xsd:enumeration value="Atikokan Hydro Inc. - AHI"/>
              <xsd:enumeration value="Attawapiskat First Nation - AFN"/>
              <xsd:enumeration value="Attawapiskat Power Corporation - APC"/>
              <xsd:enumeration value="Bluewater Power Distribution Corporation - BPDC"/>
              <xsd:enumeration value="Brant County Power Inc. - BCP"/>
              <xsd:enumeration value="Brantford Power Inc. - BPI"/>
              <xsd:enumeration value="Building Owners and Managers Association - BOMA"/>
              <xsd:enumeration value="Burlington Hydro Inc. - BHI"/>
              <xsd:enumeration value="Cambridge and North Dumfries Hydro Inc. - CND Hydro"/>
              <xsd:enumeration value="Canadian Energy Efficiency Alliance - CEEA"/>
              <xsd:enumeration value="Canadian Manufacturers and Exporters - CME"/>
              <xsd:enumeration value="Canadian Niagara Power Inc. - CNP"/>
              <xsd:enumeration value="Centre Wellington Hydro Ltd. - CWHL"/>
              <xsd:enumeration value="Chapleau Public Utilities Corporation - CPUC"/>
              <xsd:enumeration value="Chatham-Kent Hydro Inc. - CKH"/>
              <xsd:enumeration value="Clinton Power Corporation - CPC"/>
              <xsd:enumeration value="Coalition of Large Distributors - CLD"/>
              <xsd:enumeration value="COLLUS Power Corporation - COLLUS"/>
              <xsd:enumeration value="Consumers Council of Canada - CCC"/>
              <xsd:enumeration value="Cooperative Hydro Embrun Inc. - CHE"/>
              <xsd:enumeration value="Cornwall Street Railway Light and Power Company Limited - CRLP"/>
              <xsd:enumeration value="Corporation of the City of Kitchener - CCK"/>
              <xsd:enumeration value="Dubreuil Forest Products Ltd. - DFP"/>
              <xsd:enumeration value="E.L.K. Energy Inc. - ELK Energy"/>
              <xsd:enumeration value="Electrical Contractors Association of Ontario - ECAO"/>
              <xsd:enumeration value="Electricity Distributors Association - EDA"/>
              <xsd:enumeration value="Enbridge Gas Distribution - EGDI"/>
              <xsd:enumeration value="Energy Cost Management Inc. - ECMI"/>
              <xsd:enumeration value="Energy Probe"/>
              <xsd:enumeration value="Enersource Hydro Mississauga Inc."/>
              <xsd:enumeration value="ENWIN Utilities Ltd."/>
              <xsd:enumeration value="Erie Thames Powerlines Corporation - ETPC"/>
              <xsd:enumeration value="Espanola Regional Hydro Distribution Corporation - ER Hydro"/>
              <xsd:enumeration value="Essex Powerlines Corporation - EPC"/>
              <xsd:enumeration value="Federation of Ontario Cottagers’ Association - FOCA"/>
              <xsd:enumeration value="Federation of Rental-housing Providers of Ontario - FRPO"/>
              <xsd:enumeration value="Festival Hydro Inc. - FHI"/>
              <xsd:enumeration value="Fort Albany First Nation - FAFN"/>
              <xsd:enumeration value="Fort Albany Power Corporation - FAPC"/>
              <xsd:enumeration value="Fort Frances Power Corporation - FFPC"/>
              <xsd:enumeration value="Great Lakes Power - GLP"/>
              <xsd:enumeration value="Greater Sudbury Hydro Inc. - GSHI"/>
              <xsd:enumeration value="Green Energy Coalition - GEC"/>
              <xsd:enumeration value="Grimsby Power Inc. - GPI"/>
              <xsd:enumeration value="Guelph Hydro Electric Systems Inc. - GHESI"/>
              <xsd:enumeration value="Haldimand County Hydro Inc. - HCHI"/>
              <xsd:enumeration value="Halton Hills Hydro Inc. - HHH"/>
              <xsd:enumeration value="Hearst Power Distribution Company Limited - HPDC"/>
              <xsd:enumeration value="Horizon Utilities Corporation - HUC"/>
              <xsd:enumeration value="Hydro 2000 Inc."/>
              <xsd:enumeration value="Hydro Hawkesbury Inc. - HHI"/>
              <xsd:enumeration value="Hydro One Brampton - HOB"/>
              <xsd:enumeration value="Hydro One Remote Communities Inc. - HORC"/>
              <xsd:enumeration value="Hydro Ottawa Limited - HOL"/>
              <xsd:enumeration value="Independent Electricity System Operator - IESO"/>
              <xsd:enumeration value="Industrial Gas Users Association – IGUA"/>
              <xsd:enumeration value="Innisfil Hydro Distribution Systems Limited - IHDS"/>
              <xsd:enumeration value="Kashechewan First Nation - KFN"/>
              <xsd:enumeration value="Kashechewan Power Corporation - KPC"/>
              <xsd:enumeration value="Kenora Hydro Electric Corporation Ltd. - KHEC"/>
              <xsd:enumeration value="Kingston Hydro Corporation - KHC"/>
              <xsd:enumeration value="Kitchener-Wilmot Hydro Inc. - KWHI"/>
              <xsd:enumeration value="Lakefront Utilities Inc. - LUI"/>
              <xsd:enumeration value="Lakeland Power Distribution Ltd. - LPD"/>
              <xsd:enumeration value="London Hydro Inc. - LHI"/>
              <xsd:enumeration value="London Property Management Association - LPMA"/>
              <xsd:enumeration value="Low Income Energy Network – LIEN"/>
              <xsd:enumeration value="Métis Nation of Ontario – MNO"/>
              <xsd:enumeration value="Middlesex Power Distribution Corporation - MPDC"/>
              <xsd:enumeration value="Midland Power Utility Corporation - MPUC"/>
              <xsd:enumeration value="Milton Hydro Distribution Inc. - MHDI"/>
              <xsd:enumeration value="Ministry of Energy - MOE"/>
              <xsd:enumeration value="National Chiefs Office - NCO"/>
              <xsd:enumeration value="National Energy Board - NEB"/>
              <xsd:enumeration value="Newmarket - Tay Power Distribution Ltd. - NTPD"/>
              <xsd:enumeration value="Niagara Peninsula Energy Inc. - NPEI"/>
              <xsd:enumeration value="Niagara-on-the-Lake Hydro Inc. - NOTL Hydro"/>
              <xsd:enumeration value="Norfolk Power Distribution Inc. - NPD"/>
              <xsd:enumeration value="North Bay Hydro Distribution Limited - NBHD"/>
              <xsd:enumeration value="Northern Ontario Wires Inc. - NOWI"/>
              <xsd:enumeration value="Oakville Hydro Electricity Distribution Inc. - OHED"/>
              <xsd:enumeration value="Ontario Power Authority - OPA"/>
              <xsd:enumeration value="Ontario Power Generation - OPG"/>
              <xsd:enumeration value="Ontario Sustainable Energy Association - OSEA"/>
              <xsd:enumeration value="Orangeville Hydro Limited - OHL"/>
              <xsd:enumeration value="Orillia Power Distribution Corporation - OPDC"/>
              <xsd:enumeration value="Oshawa PUC Networks Inc. - OPUCN"/>
              <xsd:enumeration value="Ottawa River Power Corporation - ORPC"/>
              <xsd:enumeration value="Parry Sound Power Corporation - PSPC"/>
              <xsd:enumeration value="Peterborough Distribution Incorporated - PDI"/>
              <xsd:enumeration value="Pollution Probe"/>
              <xsd:enumeration value="Port Colborne Hydro Inc. - PCHI"/>
              <xsd:enumeration value="Power Workers Union - PWU"/>
              <xsd:enumeration value="PowerStream Inc."/>
              <xsd:enumeration value="PUC Distribution Inc. - PUC"/>
              <xsd:enumeration value="Renfrew Hydro Inc. - RHI"/>
              <xsd:enumeration value="RES Canada Transmission LP"/>
              <xsd:enumeration value="Rideau St. Lawrence Distribution Inc. - RSLD"/>
              <xsd:enumeration value="School Energy Coalition - SEC"/>
              <xsd:enumeration value="Sioux Lookout Hydro Inc. - SLH"/>
              <xsd:enumeration value="Society of Energy Professionals - SEP"/>
              <xsd:enumeration value="St. Thomas Energy Inc. - STE"/>
              <xsd:enumeration value="Thunder Bay Hydro Electricity Distribution Inc. - TBHED"/>
              <xsd:enumeration value="Tillsonburg Hydro Inc. - THI"/>
              <xsd:enumeration value="Toronto Hydro Electric System Limited - THESL"/>
              <xsd:enumeration value="Union Gas Limited - UGL"/>
              <xsd:enumeration value="Veridian Connections Inc. - VCI"/>
              <xsd:enumeration value="Vulnerable Energy Consumers Coalition - VECC"/>
              <xsd:enumeration value="Wasaga Distribution Inc. - WDI"/>
              <xsd:enumeration value="Waterloo North Hydro Inc. - WNH"/>
              <xsd:enumeration value="Welland Hydro-Electric System Corp. - WHESC"/>
              <xsd:enumeration value="Wellington North Power Inc. - WNP"/>
              <xsd:enumeration value="West Coast Huron Energy Inc. - WCHE"/>
              <xsd:enumeration value="West Perth Power Inc. - WPP"/>
              <xsd:enumeration value="Westario Power Inc. - WPI"/>
              <xsd:enumeration value="Whitby Hydro Electric Corporation - WHEC"/>
              <xsd:enumeration value="Woodstock Hydro Services Inc. - WHS"/>
            </xsd:restriction>
          </xsd:simpleType>
        </xsd:union>
      </xsd:simpleType>
    </xsd:element>
    <xsd:element name="Filing_x0020_Status" ma:index="15" nillable="true" ma:displayName="Filing Status" ma:default="Draft" ma:description="Filed means that the document has been sent to the OEB." ma:format="RadioButtons" ma:internalName="Filing_x0020_Status">
      <xsd:simpleType>
        <xsd:restriction base="dms:Choice">
          <xsd:enumeration value="Draft"/>
          <xsd:enumeration value="Fil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f1d65-dfd0-4b99-b523-def3a954563f" elementFormDefault="qualified">
    <xsd:import namespace="http://schemas.microsoft.com/office/2006/documentManagement/types"/>
    <xsd:import namespace="http://schemas.microsoft.com/office/infopath/2007/PartnerControls"/>
    <xsd:element name="Hydro_x0020_One_x0020_Data_x0020_Classification" ma:index="16" nillable="true" ma:displayName="Hydro One Data Classification" ma:default="Internal Use" ma:format="RadioButtons" ma:internalName="Hydro_x0020_One_x0020_Data_x0020_Classification" ma:readOnly="false">
      <xsd:simpleType>
        <xsd:restriction base="dms:Choice">
          <xsd:enumeration value="Secret"/>
          <xsd:enumeration value="Confidential"/>
          <xsd:enumeration value="Internal Use"/>
          <xsd:enumeration value="Public"/>
        </xsd:restriction>
      </xsd:simpleType>
    </xsd:element>
    <xsd:element name="_dlc_DocId" ma:index="18" nillable="true" ma:displayName="Document ID Value" ma:description="The value of the document ID assigned to this item." ma:internalName="_dlc_DocId" ma:readOnly="false">
      <xsd:simpleType>
        <xsd:restriction base="dms:Text"/>
      </xsd:simple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17" nillable="true" ma:displayName="RA Contact" ma:default="BURKE Kathleen" ma:format="Dropdown" ma:internalName="RA_x0020_Contact">
      <xsd:simpleType>
        <xsd:union memberTypes="dms:Text">
          <xsd:simpleType>
            <xsd:restriction base="dms:Choice">
              <xsd:enumeration value="BURKE Kathleen"/>
              <xsd:enumeration value="D'ANDREA Frank"/>
              <xsd:enumeration value="RICHARDSON Joanne"/>
              <xsd:enumeration value="SMITH Jeffrey"/>
              <xsd:enumeration value="VETSIS Stephen"/>
            </xsd:restriction>
          </xsd:simpleType>
        </xsd:un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f47813-6223-4a6f-8345-4f354f0b8e15" elementFormDefault="qualified">
    <xsd:import namespace="http://schemas.microsoft.com/office/2006/documentManagement/types"/>
    <xsd:import namespace="http://schemas.microsoft.com/office/infopath/2007/PartnerControls"/>
    <xsd:element name="Witness" ma:index="21" nillable="true" ma:displayName="Witness" ma:internalName="Witness">
      <xsd:simpleType>
        <xsd:restriction base="dms:Text">
          <xsd:maxLength value="255"/>
        </xsd:restriction>
      </xsd:simpleType>
    </xsd:element>
    <xsd:element name="Draft_x0020_Ready" ma:index="22" nillable="true" ma:displayName="Draft Ready" ma:default="0" ma:internalName="Draft_x0020_Ready">
      <xsd:simpleType>
        <xsd:restriction base="dms:Boolean"/>
      </xsd:simpleType>
    </xsd:element>
    <xsd:element name="RA_x0020_Approved" ma:index="23" nillable="true" ma:displayName="RA Approved" ma:default="0" ma:internalName="RA_x0020_Approved">
      <xsd:simpleType>
        <xsd:restriction base="dms:Boolean"/>
      </xsd:simpleType>
    </xsd:element>
    <xsd:element name="Dir_Approved" ma:index="24" nillable="true" ma:displayName="Dir_Approved" ma:default="0" ma:internalName="Dir_Approved">
      <xsd:simpleType>
        <xsd:restriction base="dms:Boolean"/>
      </xsd:simpleType>
    </xsd:element>
    <xsd:element name="Dir_x0020_Approved" ma:index="26" nillable="true" ma:displayName="Dir Approved" ma:default="0" ma:internalName="Dir_x0020_Approved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5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0af1d65-dfd0-4b99-b523-def3a954563f">PMCN44DTZYCH-766221329-527</_dlc_DocId>
    <_dlc_DocIdUrl xmlns="f0af1d65-dfd0-4b99-b523-def3a954563f">
      <Url>https://teams.hydroone.com/sites/ra/ra/_layouts/DocIdRedir.aspx?ID=PMCN44DTZYCH-766221329-527</Url>
      <Description>PMCN44DTZYCH-766221329-527</Description>
    </_dlc_DocIdUrl>
    <Filing_x0020_Status xmlns="ea909525-6dd5-47d7-9eed-71e77e5cedc6">Draft</Filing_x0020_Status>
    <Case_x0020_Number_x002f_Docket_x0020_Number xmlns="f9175001-c430-4d57-adde-c1c10539e919">EB-2022-0101</Case_x0020_Number_x002f_Docket_x0020_Number>
    <Issue_x0020_Date xmlns="f9175001-c430-4d57-adde-c1c10539e919">2022-02-18T05:00:00+00:00</Issue_x0020_Date>
    <Authoring_x0020_Party xmlns="ea909525-6dd5-47d7-9eed-71e77e5cedc6">Hydro One Networks - HONI</Authoring_x0020_Party>
    <Applicant xmlns="f9175001-c430-4d57-adde-c1c10539e919">
      <Value>Hydro One Networks</Value>
    </Applicant>
    <Jurisdiction xmlns="f9175001-c430-4d57-adde-c1c10539e919">OEB</Jurisdiction>
    <Draft_x0020_Ready xmlns="95f47813-6223-4a6f-8345-4f354f0b8e15">false</Draft_x0020_Ready>
    <RA_x0020_Approved xmlns="95f47813-6223-4a6f-8345-4f354f0b8e15">false</RA_x0020_Approved>
    <Case_x0020_Type xmlns="f9175001-c430-4d57-adde-c1c10539e919">Electricity</Case_x0020_Type>
    <Dir_x0020_Approved xmlns="95f47813-6223-4a6f-8345-4f354f0b8e15">false</Dir_x0020_Approved>
    <Document_x0020_Type xmlns="f9175001-c430-4d57-adde-c1c10539e919">Correspondence</Document_x0020_Type>
    <RA_x0020_Contact xmlns="31a38067-a042-4e0e-9037-517587b10700">RICHARDSON Joanne</RA_x0020_Contact>
    <Hydro_x0020_One_x0020_Data_x0020_Classification xmlns="f0af1d65-dfd0-4b99-b523-def3a954563f">Internal Use</Hydro_x0020_One_x0020_Data_x0020_Classification>
    <Witness xmlns="95f47813-6223-4a6f-8345-4f354f0b8e15" xsi:nil="true"/>
    <Dir_Approved xmlns="95f47813-6223-4a6f-8345-4f354f0b8e15">false</Dir_Approved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C34B7AD-7DCF-4817-A3B3-D3E2B7A2097F}"/>
</file>

<file path=customXml/itemProps2.xml><?xml version="1.0" encoding="utf-8"?>
<ds:datastoreItem xmlns:ds="http://schemas.openxmlformats.org/officeDocument/2006/customXml" ds:itemID="{BB6A5DBB-8518-4020-9A65-81FC67757DFD}"/>
</file>

<file path=customXml/itemProps3.xml><?xml version="1.0" encoding="utf-8"?>
<ds:datastoreItem xmlns:ds="http://schemas.openxmlformats.org/officeDocument/2006/customXml" ds:itemID="{BB80B8E0-85D0-446C-8E71-4DAFD9311902}"/>
</file>

<file path=customXml/itemProps4.xml><?xml version="1.0" encoding="utf-8"?>
<ds:datastoreItem xmlns:ds="http://schemas.openxmlformats.org/officeDocument/2006/customXml" ds:itemID="{1742ADC2-FBDB-452D-BA87-59BC959DDD5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5 Year Loan Method</vt:lpstr>
      <vt:lpstr>5 Year NBV Method</vt:lpstr>
      <vt:lpstr>Assumptions</vt:lpstr>
      <vt:lpstr>'5 Year Loan Method'!Print_Area</vt:lpstr>
      <vt:lpstr>Assumptions!Print_Area</vt:lpstr>
      <vt:lpstr>Summary!Print_Area</vt:lpstr>
    </vt:vector>
  </TitlesOfParts>
  <Company>Hydro 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Attachment 1 to Appendix B</dc:title>
  <dc:creator>FROST Wade</dc:creator>
  <cp:lastModifiedBy>RICHARDSON Joanne</cp:lastModifiedBy>
  <dcterms:created xsi:type="dcterms:W3CDTF">2019-09-22T17:31:26Z</dcterms:created>
  <dcterms:modified xsi:type="dcterms:W3CDTF">2022-02-23T21:02:37Z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7928a4b5-b384-46c8-b76c-dc0870ebf459</vt:lpwstr>
  </property>
  <property fmtid="{D5CDD505-2E9C-101B-9397-08002B2CF9AE}" pid="3" name="ContentTypeId">
    <vt:lpwstr>0x01010061EC7F66509FFD4DA0B1B261A86BE773005B75BF1C853B5A49BFBE76CEFBF5D364</vt:lpwstr>
  </property>
</Properties>
</file>