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theo/Dropbox (GEEG)/Public/_SBUA Ontario/Gas DSM 2022-26/Technical Conference/Undertaking/"/>
    </mc:Choice>
  </mc:AlternateContent>
  <xr:revisionPtr revIDLastSave="0" documentId="13_ncr:1_{EAF0940A-B6B3-3B4B-99A3-998D371BEF34}" xr6:coauthVersionLast="47" xr6:coauthVersionMax="47" xr10:uidLastSave="{00000000-0000-0000-0000-000000000000}"/>
  <bookViews>
    <workbookView xWindow="-35620" yWindow="-4300" windowWidth="29800" windowHeight="19400" xr2:uid="{AF013033-9C47-AA4C-B265-B044036A2A5E}"/>
  </bookViews>
  <sheets>
    <sheet name="Rx Projected Increase" sheetId="24" r:id="rId1"/>
    <sheet name="MA Turnkey" sheetId="23" r:id="rId2"/>
    <sheet name="EGI - Savings %" sheetId="31" r:id="rId3"/>
    <sheet name="EGI - Rate Class Volumes" sheetId="32" r:id="rId4"/>
    <sheet name="EGI - Rate Class Sav &amp; Part" sheetId="33" r:id="rId5"/>
    <sheet name="FULL Savings" sheetId="21" r:id="rId6"/>
    <sheet name="FULL Costs" sheetId="22" r:id="rId7"/>
    <sheet name="Example Bill" sheetId="29" r:id="rId8"/>
    <sheet name="GEC.7_Summary" sheetId="25" r:id="rId9"/>
    <sheet name="Potential Study" sheetId="30" r:id="rId10"/>
    <sheet name="GEC.7_PIVOT" sheetId="26" r:id="rId11"/>
    <sheet name="GEC.7" sheetId="27" r:id="rId12"/>
    <sheet name="GEC.7 Notes" sheetId="28" r:id="rId13"/>
    <sheet name="MA - MassSave" sheetId="34" r:id="rId14"/>
  </sheets>
  <externalReferences>
    <externalReference r:id="rId15"/>
  </externalReferences>
  <definedNames>
    <definedName name="_xlnm._FilterDatabase" localSheetId="11" hidden="1">GEC.7!$A$3:$W$50</definedName>
    <definedName name="CurrentYr1">[1]Ref!$E$27</definedName>
    <definedName name="CurrentYr2">[1]Ref!$E$28</definedName>
    <definedName name="CurrentYr3">[1]Ref!$E$29</definedName>
    <definedName name="GHG_Elec_CO2">[1]Ref!$G$33</definedName>
    <definedName name="GHG_Elec_NOX">[1]Ref!$E$33</definedName>
    <definedName name="GHG_Elec_SO2">[1]Ref!$F$33</definedName>
    <definedName name="GHG_Gas_CO2">[1]Ref!$G$34</definedName>
    <definedName name="GHG_Oil_CO2">[1]Ref!$G$35</definedName>
    <definedName name="GHG_Propane_CO2">[1]Ref!$G$36</definedName>
    <definedName name="NomDisRate2020">[1]Ref!$E$22</definedName>
    <definedName name="NomDisRate2021">[1]Ref!$E$23</definedName>
    <definedName name="_xlnm.Print_Area" localSheetId="4">'EGI - Rate Class Sav &amp; Part'!$B$1:$AP$34</definedName>
    <definedName name="_xlnm.Print_Area" localSheetId="11">GEC.7!$A$1:$W$52</definedName>
    <definedName name="_xlnm.Print_Titles" localSheetId="4">'EGI - Rate Class Sav &amp; Part'!$B:$C</definedName>
    <definedName name="_xlnm.Print_Titles" localSheetId="11">GEC.7!$A:$C,GEC.7!$3:$3</definedName>
    <definedName name="wrn.all." localSheetId="7" hidden="1">{"class_gascosts",#N/A,FALSE,"GASCOST1";"class_stortransp",#N/A,FALSE,"GASCOST1";"class_transp",#N/A,FALSE,"GASCOST1"}</definedName>
    <definedName name="wrn.all." localSheetId="9" hidden="1">{"class_gascosts",#N/A,FALSE,"GASCOST1";"class_stortransp",#N/A,FALSE,"GASCOST1";"class_transp",#N/A,FALSE,"GASCOST1"}</definedName>
    <definedName name="wrn.all." hidden="1">{"class_gascosts",#N/A,FALSE,"GASCOST1";"class_stortransp",#N/A,FALSE,"GASCOST1";"class_transp",#N/A,FALSE,"GASCOST1"}</definedName>
    <definedName name="wrn.allocation." localSheetId="7" hidden="1">{"allocation",#N/A,FALSE,"TOTCLEAR"}</definedName>
    <definedName name="wrn.allocation." localSheetId="9" hidden="1">{"allocation",#N/A,FALSE,"TOTCLEAR"}</definedName>
    <definedName name="wrn.allocation." hidden="1">{"allocation",#N/A,FALSE,"TOTCLEAR"}</definedName>
    <definedName name="wrn.balances." localSheetId="7" hidden="1">{"balances",#N/A,FALSE,"TOTCLEAR"}</definedName>
    <definedName name="wrn.balances." localSheetId="9" hidden="1">{"balances",#N/A,FALSE,"TOTCLEAR"}</definedName>
    <definedName name="wrn.balances." hidden="1">{"balances",#N/A,FALSE,"TOTCLEAR"}</definedName>
    <definedName name="wrn.CLASS_COSTSERVICE." localSheetId="7" hidden="1">{"CLASS_COSTSERVICE",#N/A,FALSE,"CSERV96"}</definedName>
    <definedName name="wrn.CLASS_COSTSERVICE." localSheetId="9" hidden="1">{"CLASS_COSTSERVICE",#N/A,FALSE,"CSERV96"}</definedName>
    <definedName name="wrn.CLASS_COSTSERVICE." hidden="1">{"CLASS_COSTSERVICE",#N/A,FALSE,"CSERV96"}</definedName>
    <definedName name="wrn.class_gascosts." localSheetId="7" hidden="1">{"class_gascosts",#N/A,FALSE,"GASCOST1"}</definedName>
    <definedName name="wrn.class_gascosts." localSheetId="9" hidden="1">{"class_gascosts",#N/A,FALSE,"GASCOST1"}</definedName>
    <definedName name="wrn.class_gascosts." hidden="1">{"class_gascosts",#N/A,FALSE,"GASCOST1"}</definedName>
    <definedName name="wrn.class_stortransp." localSheetId="7" hidden="1">{"class_stortransp",#N/A,FALSE,"GASCOST1"}</definedName>
    <definedName name="wrn.class_stortransp." localSheetId="9" hidden="1">{"class_stortransp",#N/A,FALSE,"GASCOST1"}</definedName>
    <definedName name="wrn.class_stortransp." hidden="1">{"class_stortransp",#N/A,FALSE,"GASCOST1"}</definedName>
    <definedName name="wrn.class_transp." localSheetId="7" hidden="1">{"class_transp",#N/A,FALSE,"GASCOST1"}</definedName>
    <definedName name="wrn.class_transp." localSheetId="9" hidden="1">{"class_transp",#N/A,FALSE,"GASCOST1"}</definedName>
    <definedName name="wrn.class_transp." hidden="1">{"class_transp",#N/A,FALSE,"GASCOST1"}</definedName>
    <definedName name="wrn.classalloc." localSheetId="7" hidden="1">{"classalloc",#N/A,FALSE,"TOTCLEAR"}</definedName>
    <definedName name="wrn.classalloc." localSheetId="9" hidden="1">{"classalloc",#N/A,FALSE,"TOTCLEAR"}</definedName>
    <definedName name="wrn.classalloc." hidden="1">{"classalloc",#N/A,FALSE,"TOTCLEAR"}</definedName>
    <definedName name="wrn.FUNC_COSTSERVICE." localSheetId="7" hidden="1">{"FUNC_COSTSERVICE",#N/A,FALSE,"CSERV96"}</definedName>
    <definedName name="wrn.FUNC_COSTSERVICE." localSheetId="9" hidden="1">{"FUNC_COSTSERVICE",#N/A,FALSE,"CSERV96"}</definedName>
    <definedName name="wrn.FUNC_COSTSERVICE." hidden="1">{"FUNC_COSTSERVICE",#N/A,FALSE,"CSERV96"}</definedName>
    <definedName name="wrn.RATE_DERIVATION." localSheetId="7" hidden="1">{"RATE_DERIVATION",#N/A,FALSE,"CSERV96"}</definedName>
    <definedName name="wrn.RATE_DERIVATION." localSheetId="9" hidden="1">{"RATE_DERIVATION",#N/A,FALSE,"CSERV96"}</definedName>
    <definedName name="wrn.RATE_DERIVATION." hidden="1">{"RATE_DERIVATION",#N/A,FALSE,"CSERV96"}</definedName>
    <definedName name="wrn.reconciliation." localSheetId="7" hidden="1">{"reconciliation",#N/A,FALSE,"TOTCLEAR"}</definedName>
    <definedName name="wrn.reconciliation." localSheetId="9" hidden="1">{"reconciliation",#N/A,FALSE,"TOTCLEAR"}</definedName>
    <definedName name="wrn.reconciliation." hidden="1">{"reconciliation",#N/A,FALSE,"TOTCLEAR"}</definedName>
    <definedName name="wrn.unitrate." localSheetId="7" hidden="1">{"unitrate",#N/A,FALSE,"TOTCLEAR"}</definedName>
    <definedName name="wrn.unitrate." localSheetId="9" hidden="1">{"unitrate",#N/A,FALSE,"TOTCLEAR"}</definedName>
    <definedName name="wrn.unitrate." hidden="1">{"unitrate",#N/A,FALSE,"TOTCLEAR"}</definedName>
    <definedName name="wrn.volumes." localSheetId="7" hidden="1">{"volumes",#N/A,FALSE,"TOTCLEAR"}</definedName>
    <definedName name="wrn.volumes." localSheetId="9" hidden="1">{"volumes",#N/A,FALSE,"TOTCLEAR"}</definedName>
    <definedName name="wrn.volumes." hidden="1">{"volumes",#N/A,FALSE,"TOTCLEAR"}</definedName>
  </definedNames>
  <calcPr calcId="191029"/>
  <pivotCaches>
    <pivotCache cacheId="49"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23" l="1"/>
  <c r="T1" i="34"/>
  <c r="A8" i="23"/>
  <c r="A7" i="23"/>
  <c r="A15" i="23" s="1"/>
  <c r="A20" i="23" s="1"/>
  <c r="B20" i="23" s="1"/>
  <c r="AO97" i="34" l="1"/>
  <c r="AN97" i="34"/>
  <c r="AO96" i="34"/>
  <c r="AN96" i="34"/>
  <c r="AO95" i="34"/>
  <c r="AN95" i="34"/>
  <c r="AO94" i="34"/>
  <c r="AN94" i="34"/>
  <c r="AO93" i="34"/>
  <c r="AN93" i="34"/>
  <c r="AO92" i="34"/>
  <c r="AN92" i="34"/>
  <c r="AO91" i="34"/>
  <c r="AN91" i="34"/>
  <c r="AO90" i="34"/>
  <c r="AN90" i="34"/>
  <c r="AO89" i="34"/>
  <c r="AN89" i="34"/>
  <c r="AO88" i="34"/>
  <c r="AN88" i="34"/>
  <c r="AO87" i="34"/>
  <c r="AN87" i="34"/>
  <c r="AO86" i="34"/>
  <c r="AN86" i="34"/>
  <c r="AO85" i="34"/>
  <c r="AN85" i="34"/>
  <c r="AO84" i="34"/>
  <c r="AN84" i="34"/>
  <c r="AO83" i="34"/>
  <c r="AN83" i="34"/>
  <c r="AO82" i="34"/>
  <c r="AN82" i="34"/>
  <c r="AO81" i="34"/>
  <c r="AN81" i="34"/>
  <c r="AO80" i="34"/>
  <c r="AN80" i="34"/>
  <c r="AO79" i="34"/>
  <c r="AN79" i="34"/>
  <c r="AO78" i="34"/>
  <c r="AN78" i="34"/>
  <c r="AO77" i="34"/>
  <c r="AN77" i="34"/>
  <c r="AO76" i="34"/>
  <c r="AN76" i="34"/>
  <c r="AO75" i="34"/>
  <c r="AN75" i="34"/>
  <c r="AO74" i="34"/>
  <c r="AN74" i="34"/>
  <c r="AO73" i="34"/>
  <c r="AN73" i="34"/>
  <c r="AO72" i="34"/>
  <c r="AN72" i="34"/>
  <c r="AO71" i="34"/>
  <c r="AN71" i="34"/>
  <c r="AO70" i="34"/>
  <c r="AN70" i="34"/>
  <c r="AO69" i="34"/>
  <c r="AN69" i="34"/>
  <c r="AO68" i="34"/>
  <c r="AN68" i="34"/>
  <c r="AO67" i="34"/>
  <c r="AN67" i="34"/>
  <c r="AO66" i="34"/>
  <c r="AN66" i="34"/>
  <c r="AO65" i="34"/>
  <c r="AN65" i="34"/>
  <c r="AO64" i="34"/>
  <c r="AN64" i="34"/>
  <c r="AO63" i="34"/>
  <c r="AN63" i="34"/>
  <c r="AO62" i="34"/>
  <c r="AN62" i="34"/>
  <c r="AO61" i="34"/>
  <c r="AN61" i="34"/>
  <c r="AO60" i="34"/>
  <c r="AN60" i="34"/>
  <c r="AO59" i="34"/>
  <c r="AN59" i="34"/>
  <c r="AO58" i="34"/>
  <c r="AN58" i="34"/>
  <c r="AL57" i="34"/>
  <c r="AK57" i="34"/>
  <c r="AJ57" i="34"/>
  <c r="AI57" i="34"/>
  <c r="AH57" i="34"/>
  <c r="AG57" i="34"/>
  <c r="AF57" i="34"/>
  <c r="AE57" i="34"/>
  <c r="AD57" i="34"/>
  <c r="AC57" i="34"/>
  <c r="AB57" i="34"/>
  <c r="AA57" i="34"/>
  <c r="Z57" i="34"/>
  <c r="Y57" i="34"/>
  <c r="X57" i="34"/>
  <c r="W57" i="34"/>
  <c r="V57" i="34"/>
  <c r="U57" i="34"/>
  <c r="T57" i="34"/>
  <c r="S57" i="34"/>
  <c r="R57" i="34"/>
  <c r="Q57" i="34"/>
  <c r="P57" i="34"/>
  <c r="O57" i="34"/>
  <c r="N57" i="34"/>
  <c r="M57" i="34"/>
  <c r="L57" i="34"/>
  <c r="K57" i="34"/>
  <c r="J57" i="34"/>
  <c r="I57" i="34"/>
  <c r="H57" i="34"/>
  <c r="AO57" i="34" s="1"/>
  <c r="G57" i="34"/>
  <c r="AN57" i="34" s="1"/>
  <c r="F57" i="34"/>
  <c r="E57" i="34"/>
  <c r="D57" i="34"/>
  <c r="C57" i="34"/>
  <c r="B57" i="34"/>
  <c r="A57" i="34"/>
  <c r="AO56" i="34"/>
  <c r="AN56" i="34"/>
  <c r="AO55" i="34"/>
  <c r="AN55" i="34"/>
  <c r="AO54" i="34"/>
  <c r="AN54" i="34"/>
  <c r="AO53" i="34"/>
  <c r="AN53" i="34"/>
  <c r="AO52" i="34"/>
  <c r="AN52" i="34"/>
  <c r="AO51" i="34"/>
  <c r="AN51" i="34"/>
  <c r="AO50" i="34"/>
  <c r="AN50" i="34"/>
  <c r="AO49" i="34"/>
  <c r="AN49" i="34"/>
  <c r="AO48" i="34"/>
  <c r="AN48" i="34"/>
  <c r="AO47" i="34"/>
  <c r="AN47" i="34"/>
  <c r="AO46" i="34"/>
  <c r="AN46" i="34"/>
  <c r="AO45" i="34"/>
  <c r="AN45" i="34"/>
  <c r="AO44" i="34"/>
  <c r="AN44" i="34"/>
  <c r="AO43" i="34"/>
  <c r="AN43" i="34"/>
  <c r="AO42" i="34"/>
  <c r="AN42" i="34"/>
  <c r="AO41" i="34"/>
  <c r="AN41" i="34"/>
  <c r="AO40" i="34"/>
  <c r="AN40" i="34"/>
  <c r="AO39" i="34"/>
  <c r="AN39" i="34"/>
  <c r="AO38" i="34"/>
  <c r="AN38" i="34"/>
  <c r="AO37" i="34"/>
  <c r="AN37" i="34"/>
  <c r="AO36" i="34"/>
  <c r="AN36" i="34"/>
  <c r="G22" i="34" s="1"/>
  <c r="Q22" i="34" s="1"/>
  <c r="AO35" i="34"/>
  <c r="AN35" i="34"/>
  <c r="I22" i="34" s="1"/>
  <c r="L22" i="34"/>
  <c r="G20" i="34"/>
  <c r="L18" i="34"/>
  <c r="L15" i="34"/>
  <c r="K15" i="34"/>
  <c r="F15" i="34"/>
  <c r="P15" i="34" s="1"/>
  <c r="G12" i="34"/>
  <c r="L11" i="34"/>
  <c r="K11" i="34"/>
  <c r="F11" i="34"/>
  <c r="P11" i="34" s="1"/>
  <c r="L7" i="34"/>
  <c r="G7" i="34"/>
  <c r="Q7" i="34" s="1"/>
  <c r="V7" i="34" s="1"/>
  <c r="K6" i="34"/>
  <c r="G4" i="34"/>
  <c r="F4" i="34"/>
  <c r="U11" i="34" l="1"/>
  <c r="D7" i="34"/>
  <c r="N7" i="34" s="1"/>
  <c r="I8" i="34"/>
  <c r="G16" i="34"/>
  <c r="L10" i="34"/>
  <c r="K9" i="34"/>
  <c r="J5" i="34"/>
  <c r="D12" i="34"/>
  <c r="N12" i="34" s="1"/>
  <c r="H6" i="34"/>
  <c r="C17" i="34"/>
  <c r="L19" i="34"/>
  <c r="D13" i="34"/>
  <c r="C9" i="34"/>
  <c r="M9" i="34" s="1"/>
  <c r="R9" i="34" s="1"/>
  <c r="D16" i="34"/>
  <c r="N16" i="34" s="1"/>
  <c r="H20" i="34"/>
  <c r="C5" i="34"/>
  <c r="I7" i="34"/>
  <c r="H16" i="34"/>
  <c r="H12" i="34"/>
  <c r="E8" i="34"/>
  <c r="D5" i="34"/>
  <c r="C13" i="34"/>
  <c r="H11" i="34"/>
  <c r="D17" i="34"/>
  <c r="D9" i="34"/>
  <c r="H8" i="34"/>
  <c r="L14" i="34"/>
  <c r="D21" i="34"/>
  <c r="N21" i="34" s="1"/>
  <c r="K19" i="34"/>
  <c r="J10" i="34"/>
  <c r="C21" i="34"/>
  <c r="J7" i="34"/>
  <c r="D4" i="34"/>
  <c r="D20" i="34"/>
  <c r="N20" i="34" s="1"/>
  <c r="C4" i="34"/>
  <c r="F8" i="34"/>
  <c r="H19" i="34"/>
  <c r="H15" i="34"/>
  <c r="F19" i="34"/>
  <c r="J18" i="34"/>
  <c r="J14" i="34"/>
  <c r="C8" i="34"/>
  <c r="J22" i="34"/>
  <c r="Q12" i="34"/>
  <c r="U15" i="34"/>
  <c r="V18" i="34"/>
  <c r="V22" i="34"/>
  <c r="L6" i="34"/>
  <c r="H7" i="34"/>
  <c r="D8" i="34"/>
  <c r="N8" i="34" s="1"/>
  <c r="S8" i="34" s="1"/>
  <c r="K10" i="34"/>
  <c r="G11" i="34"/>
  <c r="Q11" i="34" s="1"/>
  <c r="V11" i="34" s="1"/>
  <c r="C12" i="34"/>
  <c r="M12" i="34" s="1"/>
  <c r="K14" i="34"/>
  <c r="G15" i="34"/>
  <c r="Q15" i="34" s="1"/>
  <c r="V15" i="34" s="1"/>
  <c r="C16" i="34"/>
  <c r="M16" i="34" s="1"/>
  <c r="K18" i="34"/>
  <c r="G19" i="34"/>
  <c r="Q19" i="34" s="1"/>
  <c r="C20" i="34"/>
  <c r="M20" i="34" s="1"/>
  <c r="K22" i="34"/>
  <c r="I11" i="34"/>
  <c r="E12" i="34"/>
  <c r="I15" i="34"/>
  <c r="E16" i="34"/>
  <c r="I19" i="34"/>
  <c r="E20" i="34"/>
  <c r="E4" i="34"/>
  <c r="O4" i="34" s="1"/>
  <c r="T4" i="34" s="1"/>
  <c r="K7" i="34"/>
  <c r="G8" i="34"/>
  <c r="Q8" i="34" s="1"/>
  <c r="J11" i="34"/>
  <c r="F12" i="34"/>
  <c r="J15" i="34"/>
  <c r="F16" i="34"/>
  <c r="P16" i="34" s="1"/>
  <c r="J19" i="34"/>
  <c r="F20" i="34"/>
  <c r="P20" i="34" s="1"/>
  <c r="E13" i="34"/>
  <c r="J8" i="34"/>
  <c r="I12" i="34"/>
  <c r="I16" i="34"/>
  <c r="E17" i="34"/>
  <c r="O17" i="34" s="1"/>
  <c r="I20" i="34"/>
  <c r="E21" i="34"/>
  <c r="O21" i="34" s="1"/>
  <c r="I4" i="34"/>
  <c r="E5" i="34"/>
  <c r="O5" i="34" s="1"/>
  <c r="T5" i="34" s="1"/>
  <c r="C6" i="34"/>
  <c r="M6" i="34" s="1"/>
  <c r="R6" i="34" s="1"/>
  <c r="K8" i="34"/>
  <c r="F9" i="34"/>
  <c r="P9" i="34" s="1"/>
  <c r="J12" i="34"/>
  <c r="F13" i="34"/>
  <c r="P13" i="34" s="1"/>
  <c r="J16" i="34"/>
  <c r="F17" i="34"/>
  <c r="P17" i="34" s="1"/>
  <c r="J20" i="34"/>
  <c r="F21" i="34"/>
  <c r="P21" i="34" s="1"/>
  <c r="E9" i="34"/>
  <c r="F5" i="34"/>
  <c r="L8" i="34"/>
  <c r="G13" i="34"/>
  <c r="K16" i="34"/>
  <c r="G21" i="34"/>
  <c r="K4" i="34"/>
  <c r="P4" i="34" s="1"/>
  <c r="U4" i="34" s="1"/>
  <c r="G5" i="34"/>
  <c r="E6" i="34"/>
  <c r="H9" i="34"/>
  <c r="D10" i="34"/>
  <c r="L12" i="34"/>
  <c r="H13" i="34"/>
  <c r="D14" i="34"/>
  <c r="N14" i="34" s="1"/>
  <c r="L16" i="34"/>
  <c r="H17" i="34"/>
  <c r="D18" i="34"/>
  <c r="L20" i="34"/>
  <c r="H21" i="34"/>
  <c r="D22" i="34"/>
  <c r="N22" i="34" s="1"/>
  <c r="S22" i="34" s="1"/>
  <c r="D6" i="34"/>
  <c r="C10" i="34"/>
  <c r="C14" i="34"/>
  <c r="M14" i="34" s="1"/>
  <c r="C18" i="34"/>
  <c r="M18" i="34" s="1"/>
  <c r="C22" i="34"/>
  <c r="H5" i="34"/>
  <c r="F6" i="34"/>
  <c r="P6" i="34" s="1"/>
  <c r="U6" i="34" s="1"/>
  <c r="I9" i="34"/>
  <c r="E10" i="34"/>
  <c r="I13" i="34"/>
  <c r="E14" i="34"/>
  <c r="O14" i="34" s="1"/>
  <c r="I17" i="34"/>
  <c r="E18" i="34"/>
  <c r="I21" i="34"/>
  <c r="E22" i="34"/>
  <c r="H4" i="34"/>
  <c r="J4" i="34"/>
  <c r="G9" i="34"/>
  <c r="K12" i="34"/>
  <c r="G17" i="34"/>
  <c r="Q17" i="34" s="1"/>
  <c r="K20" i="34"/>
  <c r="L4" i="34"/>
  <c r="Q4" i="34" s="1"/>
  <c r="V4" i="34" s="1"/>
  <c r="I5" i="34"/>
  <c r="G6" i="34"/>
  <c r="Q6" i="34" s="1"/>
  <c r="V6" i="34" s="1"/>
  <c r="C7" i="34"/>
  <c r="M7" i="34" s="1"/>
  <c r="J9" i="34"/>
  <c r="F10" i="34"/>
  <c r="P10" i="34" s="1"/>
  <c r="J13" i="34"/>
  <c r="F14" i="34"/>
  <c r="J17" i="34"/>
  <c r="F18" i="34"/>
  <c r="J21" i="34"/>
  <c r="F22" i="34"/>
  <c r="G18" i="34"/>
  <c r="Q18" i="34" s="1"/>
  <c r="C11" i="34"/>
  <c r="M11" i="34" s="1"/>
  <c r="G14" i="34"/>
  <c r="K17" i="34"/>
  <c r="K21" i="34"/>
  <c r="I6" i="34"/>
  <c r="E7" i="34"/>
  <c r="O7" i="34" s="1"/>
  <c r="L9" i="34"/>
  <c r="H10" i="34"/>
  <c r="D11" i="34"/>
  <c r="L13" i="34"/>
  <c r="H14" i="34"/>
  <c r="D15" i="34"/>
  <c r="N15" i="34" s="1"/>
  <c r="L17" i="34"/>
  <c r="H18" i="34"/>
  <c r="D19" i="34"/>
  <c r="N19" i="34" s="1"/>
  <c r="L21" i="34"/>
  <c r="H22" i="34"/>
  <c r="G10" i="34"/>
  <c r="Q10" i="34" s="1"/>
  <c r="K13" i="34"/>
  <c r="C15" i="34"/>
  <c r="M15" i="34" s="1"/>
  <c r="C19" i="34"/>
  <c r="M19" i="34" s="1"/>
  <c r="K5" i="34"/>
  <c r="L5" i="34"/>
  <c r="J6" i="34"/>
  <c r="F7" i="34"/>
  <c r="P7" i="34" s="1"/>
  <c r="U7" i="34" s="1"/>
  <c r="I10" i="34"/>
  <c r="E11" i="34"/>
  <c r="I14" i="34"/>
  <c r="E15" i="34"/>
  <c r="I18" i="34"/>
  <c r="E19" i="34"/>
  <c r="A16" i="24"/>
  <c r="M54" i="33"/>
  <c r="M55" i="33" s="1"/>
  <c r="M52" i="33"/>
  <c r="M51" i="33"/>
  <c r="K34" i="33"/>
  <c r="J34" i="33"/>
  <c r="U33" i="33"/>
  <c r="T33" i="33"/>
  <c r="S33" i="33"/>
  <c r="R33" i="33"/>
  <c r="Q33" i="33"/>
  <c r="P33" i="33"/>
  <c r="O33" i="33"/>
  <c r="N33" i="33"/>
  <c r="M33" i="33"/>
  <c r="M34" i="33" s="1"/>
  <c r="L33" i="33"/>
  <c r="L34" i="33" s="1"/>
  <c r="K33" i="33"/>
  <c r="J33" i="33"/>
  <c r="I33" i="33"/>
  <c r="H33" i="33"/>
  <c r="G33" i="33"/>
  <c r="F33" i="33"/>
  <c r="E33" i="33"/>
  <c r="D33" i="33"/>
  <c r="U27" i="33"/>
  <c r="T27" i="33"/>
  <c r="S27" i="33"/>
  <c r="R27" i="33"/>
  <c r="Q27" i="33"/>
  <c r="P27" i="33"/>
  <c r="O27" i="33"/>
  <c r="O34" i="33" s="1"/>
  <c r="N27" i="33"/>
  <c r="N34" i="33" s="1"/>
  <c r="M27" i="33"/>
  <c r="L27" i="33"/>
  <c r="K27" i="33"/>
  <c r="J27" i="33"/>
  <c r="I27" i="33"/>
  <c r="H27" i="33"/>
  <c r="G27" i="33"/>
  <c r="F27" i="33"/>
  <c r="E27" i="33"/>
  <c r="D27" i="33"/>
  <c r="U16" i="33"/>
  <c r="U34" i="33" s="1"/>
  <c r="T16" i="33"/>
  <c r="T34" i="33" s="1"/>
  <c r="S16" i="33"/>
  <c r="S34" i="33" s="1"/>
  <c r="R16" i="33"/>
  <c r="R34" i="33" s="1"/>
  <c r="Q16" i="33"/>
  <c r="Q34" i="33" s="1"/>
  <c r="P16" i="33"/>
  <c r="P34" i="33" s="1"/>
  <c r="O16" i="33"/>
  <c r="N16" i="33"/>
  <c r="M16" i="33"/>
  <c r="L16" i="33"/>
  <c r="K16" i="33"/>
  <c r="J16" i="33"/>
  <c r="I16" i="33"/>
  <c r="I34" i="33" s="1"/>
  <c r="H16" i="33"/>
  <c r="H34" i="33" s="1"/>
  <c r="G16" i="33"/>
  <c r="G34" i="33" s="1"/>
  <c r="F16" i="33"/>
  <c r="F34" i="33" s="1"/>
  <c r="E16" i="33"/>
  <c r="E34" i="33" s="1"/>
  <c r="D16" i="33"/>
  <c r="D34" i="33" s="1"/>
  <c r="I42" i="32"/>
  <c r="H42" i="32"/>
  <c r="G42" i="32"/>
  <c r="F42" i="32"/>
  <c r="D42" i="32"/>
  <c r="C42" i="32"/>
  <c r="C41" i="32"/>
  <c r="I40" i="32"/>
  <c r="H40" i="32"/>
  <c r="G40" i="32"/>
  <c r="F40" i="32"/>
  <c r="E40" i="32"/>
  <c r="D40" i="32"/>
  <c r="C40" i="32"/>
  <c r="C39" i="32"/>
  <c r="C38" i="32"/>
  <c r="C37" i="32"/>
  <c r="C36" i="32"/>
  <c r="C35" i="32"/>
  <c r="C34" i="32"/>
  <c r="C33" i="32"/>
  <c r="C32" i="32"/>
  <c r="C31" i="32"/>
  <c r="C30" i="32"/>
  <c r="C29" i="32"/>
  <c r="C26" i="32"/>
  <c r="A21" i="32"/>
  <c r="A22" i="32" s="1"/>
  <c r="C20" i="32"/>
  <c r="A20" i="32"/>
  <c r="C19" i="32"/>
  <c r="I18" i="32"/>
  <c r="H18" i="32"/>
  <c r="G18" i="32"/>
  <c r="F18" i="32"/>
  <c r="E18" i="32"/>
  <c r="D18" i="32"/>
  <c r="C18" i="32"/>
  <c r="C17" i="32"/>
  <c r="I16" i="32"/>
  <c r="H16" i="32"/>
  <c r="G16" i="32"/>
  <c r="F16" i="32"/>
  <c r="E16" i="32"/>
  <c r="E42" i="32" s="1"/>
  <c r="D16" i="32"/>
  <c r="C16" i="32"/>
  <c r="C15" i="32"/>
  <c r="C14" i="32"/>
  <c r="C13" i="32"/>
  <c r="C12" i="32"/>
  <c r="C11" i="32"/>
  <c r="C10" i="32"/>
  <c r="C9" i="32"/>
  <c r="D34" i="31"/>
  <c r="C34" i="31"/>
  <c r="D33" i="31"/>
  <c r="C33" i="31"/>
  <c r="D32" i="31"/>
  <c r="C32" i="31"/>
  <c r="D31" i="31"/>
  <c r="C31" i="31"/>
  <c r="D30" i="31"/>
  <c r="C30" i="31"/>
  <c r="D29" i="31"/>
  <c r="C29" i="31"/>
  <c r="E29" i="31" s="1"/>
  <c r="E28" i="31"/>
  <c r="F28" i="31" s="1"/>
  <c r="D28" i="31"/>
  <c r="C28" i="31"/>
  <c r="D27" i="31"/>
  <c r="C27" i="31"/>
  <c r="D26" i="31"/>
  <c r="C26" i="31"/>
  <c r="D25" i="31"/>
  <c r="C25" i="31"/>
  <c r="D24" i="31"/>
  <c r="C24" i="31"/>
  <c r="D23" i="31"/>
  <c r="C23" i="31"/>
  <c r="D22" i="31"/>
  <c r="C22" i="31"/>
  <c r="D21" i="31"/>
  <c r="C21" i="31"/>
  <c r="D20" i="31"/>
  <c r="C20" i="31"/>
  <c r="D19" i="31"/>
  <c r="C19" i="31"/>
  <c r="E18" i="31"/>
  <c r="F18" i="31" s="1"/>
  <c r="D18" i="31"/>
  <c r="C18" i="31"/>
  <c r="D17" i="31"/>
  <c r="C17" i="31"/>
  <c r="E17" i="31" s="1"/>
  <c r="D16" i="31"/>
  <c r="C16" i="31"/>
  <c r="D15" i="31"/>
  <c r="C15" i="31"/>
  <c r="D14" i="31"/>
  <c r="C14" i="31"/>
  <c r="D13" i="31"/>
  <c r="C13" i="31"/>
  <c r="D12" i="31"/>
  <c r="C12" i="31"/>
  <c r="D11" i="31"/>
  <c r="C11" i="31"/>
  <c r="D10" i="31"/>
  <c r="C10" i="31"/>
  <c r="D9" i="31"/>
  <c r="C9" i="31"/>
  <c r="D8" i="31"/>
  <c r="C8" i="31"/>
  <c r="E8" i="31" s="1"/>
  <c r="F8" i="31" s="1"/>
  <c r="D7" i="31"/>
  <c r="C7" i="31"/>
  <c r="E7" i="31" s="1"/>
  <c r="E6" i="31"/>
  <c r="F6" i="31" s="1"/>
  <c r="D6" i="31"/>
  <c r="C6" i="31"/>
  <c r="D5" i="31"/>
  <c r="C5" i="31"/>
  <c r="E5" i="31" s="1"/>
  <c r="D4" i="31"/>
  <c r="C4" i="31"/>
  <c r="E4" i="31" s="1"/>
  <c r="E3" i="31"/>
  <c r="O13" i="34" l="1"/>
  <c r="N10" i="34"/>
  <c r="S10" i="34" s="1"/>
  <c r="T14" i="34"/>
  <c r="N9" i="34"/>
  <c r="S9" i="34" s="1"/>
  <c r="S17" i="34"/>
  <c r="N11" i="34"/>
  <c r="S11" i="34" s="1"/>
  <c r="U22" i="34"/>
  <c r="V12" i="34"/>
  <c r="U21" i="34"/>
  <c r="P12" i="34"/>
  <c r="U12" i="34" s="1"/>
  <c r="T18" i="34"/>
  <c r="N17" i="34"/>
  <c r="V16" i="34"/>
  <c r="V19" i="34"/>
  <c r="U13" i="34"/>
  <c r="U17" i="34"/>
  <c r="U20" i="34"/>
  <c r="M22" i="34"/>
  <c r="R22" i="34" s="1"/>
  <c r="O6" i="34"/>
  <c r="T6" i="34" s="1"/>
  <c r="T11" i="34"/>
  <c r="U14" i="34"/>
  <c r="P19" i="34"/>
  <c r="U19" i="34" s="1"/>
  <c r="R11" i="34"/>
  <c r="T10" i="34"/>
  <c r="S13" i="34"/>
  <c r="Q5" i="34"/>
  <c r="R15" i="34"/>
  <c r="M13" i="34"/>
  <c r="U9" i="34"/>
  <c r="M8" i="34"/>
  <c r="R8" i="34" s="1"/>
  <c r="R19" i="34"/>
  <c r="N5" i="34"/>
  <c r="S5" i="34" s="1"/>
  <c r="V10" i="34"/>
  <c r="Q14" i="34"/>
  <c r="V14" i="34" s="1"/>
  <c r="Q9" i="34"/>
  <c r="V9" i="34" s="1"/>
  <c r="U10" i="34"/>
  <c r="P8" i="34"/>
  <c r="U8" i="34" s="1"/>
  <c r="O8" i="34"/>
  <c r="T8" i="34" s="1"/>
  <c r="Y8" i="34" s="1"/>
  <c r="A4" i="23" s="1"/>
  <c r="Q16" i="34"/>
  <c r="O19" i="34"/>
  <c r="T19" i="34" s="1"/>
  <c r="O20" i="34"/>
  <c r="T20" i="34" s="1"/>
  <c r="M4" i="34"/>
  <c r="R4" i="34" s="1"/>
  <c r="R12" i="34"/>
  <c r="R18" i="34"/>
  <c r="O10" i="34"/>
  <c r="M10" i="34"/>
  <c r="R10" i="34" s="1"/>
  <c r="N6" i="34"/>
  <c r="S6" i="34" s="1"/>
  <c r="T21" i="34"/>
  <c r="S19" i="34"/>
  <c r="R21" i="34"/>
  <c r="T13" i="34"/>
  <c r="M17" i="34"/>
  <c r="R17" i="34" s="1"/>
  <c r="P22" i="34"/>
  <c r="S20" i="34"/>
  <c r="R16" i="34"/>
  <c r="V17" i="34"/>
  <c r="P18" i="34"/>
  <c r="U18" i="34" s="1"/>
  <c r="N4" i="34"/>
  <c r="S4" i="34" s="1"/>
  <c r="S14" i="34"/>
  <c r="T17" i="34"/>
  <c r="P5" i="34"/>
  <c r="T7" i="34"/>
  <c r="M5" i="34"/>
  <c r="R5" i="34" s="1"/>
  <c r="V13" i="34"/>
  <c r="N13" i="34"/>
  <c r="R13" i="34"/>
  <c r="Q21" i="34"/>
  <c r="V21" i="34" s="1"/>
  <c r="U16" i="34"/>
  <c r="Q13" i="34"/>
  <c r="R7" i="34"/>
  <c r="O15" i="34"/>
  <c r="T15" i="34" s="1"/>
  <c r="O22" i="34"/>
  <c r="T22" i="34" s="1"/>
  <c r="V8" i="34"/>
  <c r="O16" i="34"/>
  <c r="T16" i="34" s="1"/>
  <c r="S7" i="34"/>
  <c r="S21" i="34"/>
  <c r="V20" i="34"/>
  <c r="S16" i="34"/>
  <c r="S15" i="34"/>
  <c r="O11" i="34"/>
  <c r="R14" i="34"/>
  <c r="P14" i="34"/>
  <c r="O18" i="34"/>
  <c r="N18" i="34"/>
  <c r="S18" i="34" s="1"/>
  <c r="O9" i="34"/>
  <c r="T9" i="34" s="1"/>
  <c r="S12" i="34"/>
  <c r="O12" i="34"/>
  <c r="T12" i="34" s="1"/>
  <c r="Q20" i="34"/>
  <c r="M21" i="34"/>
  <c r="R20" i="34"/>
  <c r="F4" i="31"/>
  <c r="A23" i="32"/>
  <c r="C22" i="32"/>
  <c r="F5" i="31"/>
  <c r="F29" i="31"/>
  <c r="F7" i="31"/>
  <c r="F17" i="31"/>
  <c r="C21" i="32"/>
  <c r="E9" i="31" s="1"/>
  <c r="F9" i="31" l="1"/>
  <c r="A24" i="32"/>
  <c r="C23" i="32"/>
  <c r="E10" i="31"/>
  <c r="F10" i="31" s="1"/>
  <c r="E11" i="31" l="1"/>
  <c r="F11" i="31" s="1"/>
  <c r="C24" i="32"/>
  <c r="A25" i="32"/>
  <c r="C25" i="32" l="1"/>
  <c r="A27" i="32"/>
  <c r="E14" i="31"/>
  <c r="F14" i="31" s="1"/>
  <c r="E12" i="31"/>
  <c r="A28" i="32" l="1"/>
  <c r="C28" i="32" s="1"/>
  <c r="C27" i="32"/>
  <c r="E21" i="31"/>
  <c r="F21" i="31" s="1"/>
  <c r="E13" i="31"/>
  <c r="F13" i="31" s="1"/>
  <c r="E19" i="31"/>
  <c r="F19" i="31" s="1"/>
  <c r="F12" i="31"/>
  <c r="E20" i="31"/>
  <c r="F20" i="31" s="1"/>
  <c r="E26" i="31" l="1"/>
  <c r="F26" i="31" s="1"/>
  <c r="E22" i="31"/>
  <c r="F22" i="31" s="1"/>
  <c r="E27" i="31"/>
  <c r="F27" i="31" s="1"/>
  <c r="E30" i="31"/>
  <c r="F30" i="31" s="1"/>
  <c r="E15" i="31"/>
  <c r="E23" i="31"/>
  <c r="F23" i="31" s="1"/>
  <c r="E31" i="31"/>
  <c r="F31" i="31" s="1"/>
  <c r="E24" i="31"/>
  <c r="F24" i="31" s="1"/>
  <c r="E32" i="31"/>
  <c r="F32" i="31" s="1"/>
  <c r="E34" i="31"/>
  <c r="F34" i="31" s="1"/>
  <c r="E33" i="31"/>
  <c r="F33" i="31" s="1"/>
  <c r="E25" i="31"/>
  <c r="F25" i="31" s="1"/>
  <c r="F15" i="31" l="1"/>
  <c r="E16" i="31"/>
  <c r="F16" i="31" s="1"/>
  <c r="B23" i="24" l="1"/>
  <c r="H19" i="24"/>
  <c r="K12" i="24"/>
  <c r="K11" i="24"/>
  <c r="K7" i="24"/>
  <c r="K6" i="24"/>
  <c r="I6" i="24"/>
  <c r="C59" i="30"/>
  <c r="A40" i="30"/>
  <c r="A41" i="30" s="1"/>
  <c r="H6" i="24"/>
  <c r="F6" i="24"/>
  <c r="H11" i="24"/>
  <c r="I11" i="24" s="1"/>
  <c r="L11" i="24" s="1"/>
  <c r="H7" i="24"/>
  <c r="H12" i="24" s="1"/>
  <c r="I12" i="24" s="1"/>
  <c r="L12" i="24" s="1"/>
  <c r="N3" i="25"/>
  <c r="N4" i="25"/>
  <c r="N5" i="25"/>
  <c r="N6" i="25"/>
  <c r="N7" i="25"/>
  <c r="N8" i="25"/>
  <c r="N9" i="25"/>
  <c r="N10" i="25"/>
  <c r="N11" i="25"/>
  <c r="N12" i="25"/>
  <c r="N13" i="25"/>
  <c r="N14" i="25"/>
  <c r="N15" i="25"/>
  <c r="N16" i="25"/>
  <c r="N17" i="25"/>
  <c r="N18" i="25"/>
  <c r="N2" i="25"/>
  <c r="B21" i="29"/>
  <c r="B22" i="29" s="1"/>
  <c r="B5" i="24"/>
  <c r="B10" i="24" s="1"/>
  <c r="B18" i="24" s="1"/>
  <c r="D7" i="24"/>
  <c r="D12" i="24" s="1"/>
  <c r="D6" i="24"/>
  <c r="Y50" i="27"/>
  <c r="X50" i="27"/>
  <c r="W50" i="27"/>
  <c r="V50" i="27"/>
  <c r="U50" i="27"/>
  <c r="T50" i="27"/>
  <c r="S50" i="27"/>
  <c r="R50" i="27"/>
  <c r="Q50" i="27"/>
  <c r="P50" i="27"/>
  <c r="O50" i="27"/>
  <c r="N50" i="27"/>
  <c r="M50" i="27"/>
  <c r="Y49" i="27"/>
  <c r="X49" i="27"/>
  <c r="W49" i="27"/>
  <c r="V49" i="27"/>
  <c r="U49" i="27"/>
  <c r="T49" i="27"/>
  <c r="S49" i="27"/>
  <c r="R49" i="27"/>
  <c r="Q49" i="27"/>
  <c r="P49" i="27"/>
  <c r="O49" i="27"/>
  <c r="N49" i="27"/>
  <c r="M49" i="27"/>
  <c r="Y48" i="27"/>
  <c r="X48" i="27"/>
  <c r="W48" i="27"/>
  <c r="V48" i="27"/>
  <c r="U48" i="27"/>
  <c r="T48" i="27"/>
  <c r="S48" i="27"/>
  <c r="R48" i="27"/>
  <c r="Q48" i="27"/>
  <c r="P48" i="27"/>
  <c r="O48" i="27"/>
  <c r="N48" i="27"/>
  <c r="M48" i="27"/>
  <c r="Y47" i="27"/>
  <c r="X47" i="27"/>
  <c r="W47" i="27"/>
  <c r="V47" i="27"/>
  <c r="U47" i="27"/>
  <c r="T47" i="27"/>
  <c r="S47" i="27"/>
  <c r="R47" i="27"/>
  <c r="Q47" i="27"/>
  <c r="P47" i="27"/>
  <c r="O47" i="27"/>
  <c r="N47" i="27"/>
  <c r="M47" i="27"/>
  <c r="Y46" i="27"/>
  <c r="X46" i="27"/>
  <c r="W46" i="27"/>
  <c r="V46" i="27"/>
  <c r="U46" i="27"/>
  <c r="T46" i="27"/>
  <c r="S46" i="27"/>
  <c r="R46" i="27"/>
  <c r="Q46" i="27"/>
  <c r="P46" i="27"/>
  <c r="O46" i="27"/>
  <c r="N46" i="27"/>
  <c r="M46" i="27"/>
  <c r="Y45" i="27"/>
  <c r="X45" i="27"/>
  <c r="W45" i="27"/>
  <c r="V45" i="27"/>
  <c r="U45" i="27"/>
  <c r="T45" i="27"/>
  <c r="S45" i="27"/>
  <c r="R45" i="27"/>
  <c r="Q45" i="27"/>
  <c r="P45" i="27"/>
  <c r="O45" i="27"/>
  <c r="N45" i="27"/>
  <c r="M45" i="27"/>
  <c r="Y44" i="27"/>
  <c r="X44" i="27"/>
  <c r="W44" i="27"/>
  <c r="V44" i="27"/>
  <c r="U44" i="27"/>
  <c r="T44" i="27"/>
  <c r="S44" i="27"/>
  <c r="R44" i="27"/>
  <c r="Q44" i="27"/>
  <c r="P44" i="27"/>
  <c r="O44" i="27"/>
  <c r="N44" i="27"/>
  <c r="M44" i="27"/>
  <c r="Y43" i="27"/>
  <c r="X43" i="27"/>
  <c r="W43" i="27"/>
  <c r="V43" i="27"/>
  <c r="U43" i="27"/>
  <c r="T43" i="27"/>
  <c r="S43" i="27"/>
  <c r="R43" i="27"/>
  <c r="Q43" i="27"/>
  <c r="P43" i="27"/>
  <c r="O43" i="27"/>
  <c r="N43" i="27"/>
  <c r="M43" i="27"/>
  <c r="Y42" i="27"/>
  <c r="X42" i="27"/>
  <c r="W42" i="27"/>
  <c r="V42" i="27"/>
  <c r="U42" i="27"/>
  <c r="T42" i="27"/>
  <c r="S42" i="27"/>
  <c r="R42" i="27"/>
  <c r="Q42" i="27"/>
  <c r="P42" i="27"/>
  <c r="O42" i="27"/>
  <c r="N42" i="27"/>
  <c r="M42" i="27"/>
  <c r="Y41" i="27"/>
  <c r="X41" i="27"/>
  <c r="W41" i="27"/>
  <c r="V41" i="27"/>
  <c r="U41" i="27"/>
  <c r="T41" i="27"/>
  <c r="S41" i="27"/>
  <c r="R41" i="27"/>
  <c r="Q41" i="27"/>
  <c r="P41" i="27"/>
  <c r="O41" i="27"/>
  <c r="N41" i="27"/>
  <c r="M41" i="27"/>
  <c r="Y40" i="27"/>
  <c r="X40" i="27"/>
  <c r="W40" i="27"/>
  <c r="V40" i="27"/>
  <c r="U40" i="27"/>
  <c r="T40" i="27"/>
  <c r="S40" i="27"/>
  <c r="R40" i="27"/>
  <c r="Q40" i="27"/>
  <c r="P40" i="27"/>
  <c r="O40" i="27"/>
  <c r="N40" i="27"/>
  <c r="M40" i="27"/>
  <c r="Y39" i="27"/>
  <c r="X39" i="27"/>
  <c r="W39" i="27"/>
  <c r="V39" i="27"/>
  <c r="U39" i="27"/>
  <c r="T39" i="27"/>
  <c r="S39" i="27"/>
  <c r="R39" i="27"/>
  <c r="Q39" i="27"/>
  <c r="P39" i="27"/>
  <c r="O39" i="27"/>
  <c r="N39" i="27"/>
  <c r="M39" i="27"/>
  <c r="Y38" i="27"/>
  <c r="X38" i="27"/>
  <c r="W38" i="27"/>
  <c r="V38" i="27"/>
  <c r="U38" i="27"/>
  <c r="T38" i="27"/>
  <c r="S38" i="27"/>
  <c r="R38" i="27"/>
  <c r="Q38" i="27"/>
  <c r="P38" i="27"/>
  <c r="O38" i="27"/>
  <c r="N38" i="27"/>
  <c r="M38" i="27"/>
  <c r="Y37" i="27"/>
  <c r="X37" i="27"/>
  <c r="W37" i="27"/>
  <c r="V37" i="27"/>
  <c r="U37" i="27"/>
  <c r="T37" i="27"/>
  <c r="S37" i="27"/>
  <c r="R37" i="27"/>
  <c r="Q37" i="27"/>
  <c r="P37" i="27"/>
  <c r="O37" i="27"/>
  <c r="N37" i="27"/>
  <c r="M37" i="27"/>
  <c r="Y36" i="27"/>
  <c r="X36" i="27"/>
  <c r="W36" i="27"/>
  <c r="V36" i="27"/>
  <c r="U36" i="27"/>
  <c r="T36" i="27"/>
  <c r="S36" i="27"/>
  <c r="R36" i="27"/>
  <c r="Q36" i="27"/>
  <c r="P36" i="27"/>
  <c r="O36" i="27"/>
  <c r="N36" i="27"/>
  <c r="M36" i="27"/>
  <c r="Y35" i="27"/>
  <c r="X35" i="27"/>
  <c r="W35" i="27"/>
  <c r="V35" i="27"/>
  <c r="U35" i="27"/>
  <c r="T35" i="27"/>
  <c r="S35" i="27"/>
  <c r="R35" i="27"/>
  <c r="Q35" i="27"/>
  <c r="P35" i="27"/>
  <c r="O35" i="27"/>
  <c r="N35" i="27"/>
  <c r="M35" i="27"/>
  <c r="Y34" i="27"/>
  <c r="X34" i="27"/>
  <c r="W34" i="27"/>
  <c r="V34" i="27"/>
  <c r="U34" i="27"/>
  <c r="T34" i="27"/>
  <c r="S34" i="27"/>
  <c r="R34" i="27"/>
  <c r="Q34" i="27"/>
  <c r="P34" i="27"/>
  <c r="O34" i="27"/>
  <c r="N34" i="27"/>
  <c r="M34" i="27"/>
  <c r="Y33" i="27"/>
  <c r="X33" i="27"/>
  <c r="W33" i="27"/>
  <c r="V33" i="27"/>
  <c r="U33" i="27"/>
  <c r="T33" i="27"/>
  <c r="S33" i="27"/>
  <c r="R33" i="27"/>
  <c r="Q33" i="27"/>
  <c r="P33" i="27"/>
  <c r="O33" i="27"/>
  <c r="N33" i="27"/>
  <c r="M33" i="27"/>
  <c r="Y32" i="27"/>
  <c r="X32" i="27"/>
  <c r="W32" i="27"/>
  <c r="V32" i="27"/>
  <c r="U32" i="27"/>
  <c r="T32" i="27"/>
  <c r="S32" i="27"/>
  <c r="R32" i="27"/>
  <c r="Q32" i="27"/>
  <c r="P32" i="27"/>
  <c r="O32" i="27"/>
  <c r="N32" i="27"/>
  <c r="M32" i="27"/>
  <c r="Y31" i="27"/>
  <c r="X31" i="27"/>
  <c r="W31" i="27"/>
  <c r="V31" i="27"/>
  <c r="U31" i="27"/>
  <c r="T31" i="27"/>
  <c r="S31" i="27"/>
  <c r="R31" i="27"/>
  <c r="Q31" i="27"/>
  <c r="P31" i="27"/>
  <c r="O31" i="27"/>
  <c r="N31" i="27"/>
  <c r="M31" i="27"/>
  <c r="Y30" i="27"/>
  <c r="X30" i="27"/>
  <c r="W30" i="27"/>
  <c r="V30" i="27"/>
  <c r="U30" i="27"/>
  <c r="T30" i="27"/>
  <c r="S30" i="27"/>
  <c r="R30" i="27"/>
  <c r="Q30" i="27"/>
  <c r="P30" i="27"/>
  <c r="O30" i="27"/>
  <c r="N30" i="27"/>
  <c r="M30" i="27"/>
  <c r="Y29" i="27"/>
  <c r="X29" i="27"/>
  <c r="W29" i="27"/>
  <c r="V29" i="27"/>
  <c r="U29" i="27"/>
  <c r="T29" i="27"/>
  <c r="S29" i="27"/>
  <c r="R29" i="27"/>
  <c r="Q29" i="27"/>
  <c r="P29" i="27"/>
  <c r="O29" i="27"/>
  <c r="N29" i="27"/>
  <c r="M29" i="27"/>
  <c r="Y28" i="27"/>
  <c r="X28" i="27"/>
  <c r="W28" i="27"/>
  <c r="V28" i="27"/>
  <c r="U28" i="27"/>
  <c r="T28" i="27"/>
  <c r="S28" i="27"/>
  <c r="R28" i="27"/>
  <c r="Q28" i="27"/>
  <c r="P28" i="27"/>
  <c r="O28" i="27"/>
  <c r="N28" i="27"/>
  <c r="M28" i="27"/>
  <c r="Y27" i="27"/>
  <c r="X27" i="27"/>
  <c r="W27" i="27"/>
  <c r="V27" i="27"/>
  <c r="U27" i="27"/>
  <c r="T27" i="27"/>
  <c r="S27" i="27"/>
  <c r="R27" i="27"/>
  <c r="Q27" i="27"/>
  <c r="P27" i="27"/>
  <c r="O27" i="27"/>
  <c r="N27" i="27"/>
  <c r="M27" i="27"/>
  <c r="Y26" i="27"/>
  <c r="X26" i="27"/>
  <c r="W26" i="27"/>
  <c r="V26" i="27"/>
  <c r="U26" i="27"/>
  <c r="T26" i="27"/>
  <c r="S26" i="27"/>
  <c r="R26" i="27"/>
  <c r="Q26" i="27"/>
  <c r="P26" i="27"/>
  <c r="O26" i="27"/>
  <c r="N26" i="27"/>
  <c r="M26" i="27"/>
  <c r="Y25" i="27"/>
  <c r="X25" i="27"/>
  <c r="W25" i="27"/>
  <c r="V25" i="27"/>
  <c r="U25" i="27"/>
  <c r="T25" i="27"/>
  <c r="S25" i="27"/>
  <c r="R25" i="27"/>
  <c r="Q25" i="27"/>
  <c r="P25" i="27"/>
  <c r="O25" i="27"/>
  <c r="N25" i="27"/>
  <c r="M25" i="27"/>
  <c r="Y24" i="27"/>
  <c r="X24" i="27"/>
  <c r="W24" i="27"/>
  <c r="V24" i="27"/>
  <c r="U24" i="27"/>
  <c r="T24" i="27"/>
  <c r="S24" i="27"/>
  <c r="R24" i="27"/>
  <c r="Q24" i="27"/>
  <c r="P24" i="27"/>
  <c r="O24" i="27"/>
  <c r="N24" i="27"/>
  <c r="M24" i="27"/>
  <c r="Y23" i="27"/>
  <c r="X23" i="27"/>
  <c r="W23" i="27"/>
  <c r="V23" i="27"/>
  <c r="U23" i="27"/>
  <c r="T23" i="27"/>
  <c r="S23" i="27"/>
  <c r="R23" i="27"/>
  <c r="Q23" i="27"/>
  <c r="P23" i="27"/>
  <c r="O23" i="27"/>
  <c r="N23" i="27"/>
  <c r="M23" i="27"/>
  <c r="Y22" i="27"/>
  <c r="X22" i="27"/>
  <c r="W22" i="27"/>
  <c r="V22" i="27"/>
  <c r="U22" i="27"/>
  <c r="T22" i="27"/>
  <c r="S22" i="27"/>
  <c r="R22" i="27"/>
  <c r="Q22" i="27"/>
  <c r="P22" i="27"/>
  <c r="O22" i="27"/>
  <c r="N22" i="27"/>
  <c r="M22" i="27"/>
  <c r="Y21" i="27"/>
  <c r="X21" i="27"/>
  <c r="W21" i="27"/>
  <c r="V21" i="27"/>
  <c r="U21" i="27"/>
  <c r="T21" i="27"/>
  <c r="S21" i="27"/>
  <c r="R21" i="27"/>
  <c r="Q21" i="27"/>
  <c r="P21" i="27"/>
  <c r="O21" i="27"/>
  <c r="N21" i="27"/>
  <c r="M21" i="27"/>
  <c r="Y20" i="27"/>
  <c r="X20" i="27"/>
  <c r="W20" i="27"/>
  <c r="V20" i="27"/>
  <c r="U20" i="27"/>
  <c r="T20" i="27"/>
  <c r="S20" i="27"/>
  <c r="R20" i="27"/>
  <c r="Q20" i="27"/>
  <c r="P20" i="27"/>
  <c r="O20" i="27"/>
  <c r="N20" i="27"/>
  <c r="M20" i="27"/>
  <c r="Y19" i="27"/>
  <c r="X19" i="27"/>
  <c r="W19" i="27"/>
  <c r="V19" i="27"/>
  <c r="U19" i="27"/>
  <c r="T19" i="27"/>
  <c r="S19" i="27"/>
  <c r="R19" i="27"/>
  <c r="Q19" i="27"/>
  <c r="P19" i="27"/>
  <c r="O19" i="27"/>
  <c r="N19" i="27"/>
  <c r="M19" i="27"/>
  <c r="Y18" i="27"/>
  <c r="X18" i="27"/>
  <c r="W18" i="27"/>
  <c r="V18" i="27"/>
  <c r="U18" i="27"/>
  <c r="T18" i="27"/>
  <c r="S18" i="27"/>
  <c r="R18" i="27"/>
  <c r="Q18" i="27"/>
  <c r="P18" i="27"/>
  <c r="O18" i="27"/>
  <c r="N18" i="27"/>
  <c r="M18" i="27"/>
  <c r="Y17" i="27"/>
  <c r="X17" i="27"/>
  <c r="W17" i="27"/>
  <c r="V17" i="27"/>
  <c r="U17" i="27"/>
  <c r="T17" i="27"/>
  <c r="S17" i="27"/>
  <c r="R17" i="27"/>
  <c r="Q17" i="27"/>
  <c r="P17" i="27"/>
  <c r="O17" i="27"/>
  <c r="N17" i="27"/>
  <c r="M17" i="27"/>
  <c r="Y16" i="27"/>
  <c r="X16" i="27"/>
  <c r="W16" i="27"/>
  <c r="V16" i="27"/>
  <c r="U16" i="27"/>
  <c r="T16" i="27"/>
  <c r="S16" i="27"/>
  <c r="R16" i="27"/>
  <c r="Q16" i="27"/>
  <c r="P16" i="27"/>
  <c r="O16" i="27"/>
  <c r="N16" i="27"/>
  <c r="M16" i="27"/>
  <c r="Y15" i="27"/>
  <c r="X15" i="27"/>
  <c r="W15" i="27"/>
  <c r="V15" i="27"/>
  <c r="U15" i="27"/>
  <c r="T15" i="27"/>
  <c r="S15" i="27"/>
  <c r="R15" i="27"/>
  <c r="Q15" i="27"/>
  <c r="P15" i="27"/>
  <c r="O15" i="27"/>
  <c r="N15" i="27"/>
  <c r="M15" i="27"/>
  <c r="Y14" i="27"/>
  <c r="X14" i="27"/>
  <c r="W14" i="27"/>
  <c r="V14" i="27"/>
  <c r="U14" i="27"/>
  <c r="T14" i="27"/>
  <c r="S14" i="27"/>
  <c r="R14" i="27"/>
  <c r="Q14" i="27"/>
  <c r="P14" i="27"/>
  <c r="O14" i="27"/>
  <c r="N14" i="27"/>
  <c r="M14" i="27"/>
  <c r="Y13" i="27"/>
  <c r="X13" i="27"/>
  <c r="W13" i="27"/>
  <c r="V13" i="27"/>
  <c r="U13" i="27"/>
  <c r="T13" i="27"/>
  <c r="S13" i="27"/>
  <c r="R13" i="27"/>
  <c r="Q13" i="27"/>
  <c r="P13" i="27"/>
  <c r="O13" i="27"/>
  <c r="N13" i="27"/>
  <c r="M13" i="27"/>
  <c r="Y12" i="27"/>
  <c r="X12" i="27"/>
  <c r="W12" i="27"/>
  <c r="V12" i="27"/>
  <c r="U12" i="27"/>
  <c r="T12" i="27"/>
  <c r="S12" i="27"/>
  <c r="R12" i="27"/>
  <c r="Q12" i="27"/>
  <c r="P12" i="27"/>
  <c r="O12" i="27"/>
  <c r="N12" i="27"/>
  <c r="M12" i="27"/>
  <c r="Y11" i="27"/>
  <c r="X11" i="27"/>
  <c r="W11" i="27"/>
  <c r="V11" i="27"/>
  <c r="U11" i="27"/>
  <c r="T11" i="27"/>
  <c r="S11" i="27"/>
  <c r="R11" i="27"/>
  <c r="Q11" i="27"/>
  <c r="P11" i="27"/>
  <c r="O11" i="27"/>
  <c r="N11" i="27"/>
  <c r="M11" i="27"/>
  <c r="Y10" i="27"/>
  <c r="X10" i="27"/>
  <c r="W10" i="27"/>
  <c r="V10" i="27"/>
  <c r="U10" i="27"/>
  <c r="T10" i="27"/>
  <c r="S10" i="27"/>
  <c r="R10" i="27"/>
  <c r="Q10" i="27"/>
  <c r="P10" i="27"/>
  <c r="O10" i="27"/>
  <c r="N10" i="27"/>
  <c r="M10" i="27"/>
  <c r="Y9" i="27"/>
  <c r="X9" i="27"/>
  <c r="W9" i="27"/>
  <c r="V9" i="27"/>
  <c r="U9" i="27"/>
  <c r="T9" i="27"/>
  <c r="S9" i="27"/>
  <c r="R9" i="27"/>
  <c r="Q9" i="27"/>
  <c r="P9" i="27"/>
  <c r="O9" i="27"/>
  <c r="N9" i="27"/>
  <c r="M9" i="27"/>
  <c r="Y8" i="27"/>
  <c r="X8" i="27"/>
  <c r="W8" i="27"/>
  <c r="V8" i="27"/>
  <c r="U8" i="27"/>
  <c r="T8" i="27"/>
  <c r="S8" i="27"/>
  <c r="R8" i="27"/>
  <c r="Q8" i="27"/>
  <c r="P8" i="27"/>
  <c r="O8" i="27"/>
  <c r="N8" i="27"/>
  <c r="M8" i="27"/>
  <c r="Y7" i="27"/>
  <c r="X7" i="27"/>
  <c r="W7" i="27"/>
  <c r="V7" i="27"/>
  <c r="U7" i="27"/>
  <c r="T7" i="27"/>
  <c r="S7" i="27"/>
  <c r="R7" i="27"/>
  <c r="Q7" i="27"/>
  <c r="P7" i="27"/>
  <c r="O7" i="27"/>
  <c r="N7" i="27"/>
  <c r="M7" i="27"/>
  <c r="Y6" i="27"/>
  <c r="X6" i="27"/>
  <c r="W6" i="27"/>
  <c r="V6" i="27"/>
  <c r="U6" i="27"/>
  <c r="T6" i="27"/>
  <c r="S6" i="27"/>
  <c r="R6" i="27"/>
  <c r="Q6" i="27"/>
  <c r="P6" i="27"/>
  <c r="O6" i="27"/>
  <c r="N6" i="27"/>
  <c r="M6" i="27"/>
  <c r="Y5" i="27"/>
  <c r="X5" i="27"/>
  <c r="W5" i="27"/>
  <c r="V5" i="27"/>
  <c r="U5" i="27"/>
  <c r="T5" i="27"/>
  <c r="S5" i="27"/>
  <c r="R5" i="27"/>
  <c r="Q5" i="27"/>
  <c r="P5" i="27"/>
  <c r="O5" i="27"/>
  <c r="N5" i="27"/>
  <c r="M5" i="27"/>
  <c r="Y4" i="27"/>
  <c r="X4" i="27"/>
  <c r="W4" i="27"/>
  <c r="V4" i="27"/>
  <c r="U4" i="27"/>
  <c r="T4" i="27"/>
  <c r="S4" i="27"/>
  <c r="R4" i="27"/>
  <c r="Q4" i="27"/>
  <c r="P4" i="27"/>
  <c r="O4" i="27"/>
  <c r="N4" i="27"/>
  <c r="M4" i="27"/>
  <c r="W2" i="27"/>
  <c r="V2" i="27"/>
  <c r="U2" i="27"/>
  <c r="T2" i="27"/>
  <c r="S2" i="27"/>
  <c r="R2" i="27"/>
  <c r="Q2" i="27"/>
  <c r="P2" i="27"/>
  <c r="O2" i="27"/>
  <c r="N2" i="27"/>
  <c r="M2" i="27"/>
  <c r="M18" i="25"/>
  <c r="L18" i="25"/>
  <c r="K18" i="25"/>
  <c r="J18" i="25"/>
  <c r="I18" i="25"/>
  <c r="H18" i="25"/>
  <c r="G18" i="25"/>
  <c r="M17" i="25"/>
  <c r="L17" i="25"/>
  <c r="K17" i="25"/>
  <c r="J17" i="25"/>
  <c r="I17" i="25"/>
  <c r="H17" i="25"/>
  <c r="G17" i="25"/>
  <c r="M16" i="25"/>
  <c r="L16" i="25"/>
  <c r="K16" i="25"/>
  <c r="J16" i="25"/>
  <c r="I16" i="25"/>
  <c r="H16" i="25"/>
  <c r="G16" i="25"/>
  <c r="M15" i="25"/>
  <c r="L15" i="25"/>
  <c r="K15" i="25"/>
  <c r="J15" i="25"/>
  <c r="I15" i="25"/>
  <c r="H15" i="25"/>
  <c r="G15" i="25"/>
  <c r="M14" i="25"/>
  <c r="L14" i="25"/>
  <c r="K14" i="25"/>
  <c r="J14" i="25"/>
  <c r="I14" i="25"/>
  <c r="H14" i="25"/>
  <c r="G14" i="25"/>
  <c r="M13" i="25"/>
  <c r="L13" i="25"/>
  <c r="K13" i="25"/>
  <c r="J13" i="25"/>
  <c r="I13" i="25"/>
  <c r="H13" i="25"/>
  <c r="G13" i="25"/>
  <c r="M12" i="25"/>
  <c r="L12" i="25"/>
  <c r="K12" i="25"/>
  <c r="J12" i="25"/>
  <c r="I12" i="25"/>
  <c r="H12" i="25"/>
  <c r="G12" i="25"/>
  <c r="M11" i="25"/>
  <c r="L11" i="25"/>
  <c r="K11" i="25"/>
  <c r="J11" i="25"/>
  <c r="I11" i="25"/>
  <c r="H11" i="25"/>
  <c r="G11" i="25"/>
  <c r="M10" i="25"/>
  <c r="L10" i="25"/>
  <c r="K10" i="25"/>
  <c r="J10" i="25"/>
  <c r="I10" i="25"/>
  <c r="H10" i="25"/>
  <c r="G10" i="25"/>
  <c r="M9" i="25"/>
  <c r="L9" i="25"/>
  <c r="K9" i="25"/>
  <c r="J9" i="25"/>
  <c r="I9" i="25"/>
  <c r="H9" i="25"/>
  <c r="G9" i="25"/>
  <c r="M8" i="25"/>
  <c r="L8" i="25"/>
  <c r="K8" i="25"/>
  <c r="J8" i="25"/>
  <c r="I8" i="25"/>
  <c r="H8" i="25"/>
  <c r="G8" i="25"/>
  <c r="M7" i="25"/>
  <c r="L7" i="25"/>
  <c r="K7" i="25"/>
  <c r="J7" i="25"/>
  <c r="I7" i="25"/>
  <c r="H7" i="25"/>
  <c r="G7" i="25"/>
  <c r="M6" i="25"/>
  <c r="L6" i="25"/>
  <c r="K6" i="25"/>
  <c r="J6" i="25"/>
  <c r="I6" i="25"/>
  <c r="H6" i="25"/>
  <c r="G6" i="25"/>
  <c r="M5" i="25"/>
  <c r="L5" i="25"/>
  <c r="K5" i="25"/>
  <c r="J5" i="25"/>
  <c r="I5" i="25"/>
  <c r="H5" i="25"/>
  <c r="G5" i="25"/>
  <c r="M4" i="25"/>
  <c r="L4" i="25"/>
  <c r="K4" i="25"/>
  <c r="J4" i="25"/>
  <c r="I4" i="25"/>
  <c r="H4" i="25"/>
  <c r="G4" i="25"/>
  <c r="M3" i="25"/>
  <c r="L3" i="25"/>
  <c r="K3" i="25"/>
  <c r="J3" i="25"/>
  <c r="I3" i="25"/>
  <c r="H3" i="25"/>
  <c r="G3" i="25"/>
  <c r="M2" i="25"/>
  <c r="L2" i="25"/>
  <c r="K2" i="25"/>
  <c r="J2" i="25"/>
  <c r="I2" i="25"/>
  <c r="H2" i="25"/>
  <c r="G2" i="25"/>
  <c r="C20" i="24"/>
  <c r="B7" i="24"/>
  <c r="B20" i="24" s="1"/>
  <c r="H20" i="24" s="1"/>
  <c r="I20" i="24" s="1"/>
  <c r="B6" i="24"/>
  <c r="B19" i="24" s="1"/>
  <c r="I19" i="24" s="1"/>
  <c r="C7" i="24"/>
  <c r="F7" i="24" s="1"/>
  <c r="G7" i="24" s="1"/>
  <c r="C6" i="24"/>
  <c r="C19" i="24" s="1"/>
  <c r="C34" i="24"/>
  <c r="D32" i="24" s="1"/>
  <c r="A23" i="23"/>
  <c r="A24" i="23"/>
  <c r="A12" i="23"/>
  <c r="C39" i="30" l="1"/>
  <c r="C40" i="30"/>
  <c r="A42" i="30"/>
  <c r="L6" i="24"/>
  <c r="M6" i="24"/>
  <c r="I7" i="24"/>
  <c r="L7" i="24" s="1"/>
  <c r="O7" i="24" s="1"/>
  <c r="P7" i="24" s="1"/>
  <c r="B11" i="24"/>
  <c r="G6" i="24"/>
  <c r="M7" i="24"/>
  <c r="D11" i="24"/>
  <c r="O6" i="24"/>
  <c r="P6" i="24" s="1"/>
  <c r="B25" i="24"/>
  <c r="O11" i="24"/>
  <c r="P11" i="24" s="1"/>
  <c r="B12" i="24"/>
  <c r="O12" i="24" s="1"/>
  <c r="P12" i="24" s="1"/>
  <c r="B24" i="24"/>
  <c r="H24" i="24"/>
  <c r="H25" i="24"/>
  <c r="I25" i="24" s="1"/>
  <c r="C11" i="24"/>
  <c r="C12" i="24"/>
  <c r="D30" i="24"/>
  <c r="A16" i="23"/>
  <c r="A21" i="23" s="1"/>
  <c r="B21" i="23" s="1"/>
  <c r="B23" i="23" l="1"/>
  <c r="B24" i="23"/>
  <c r="A43" i="30"/>
  <c r="C41" i="30"/>
  <c r="N7" i="24"/>
  <c r="Q7" i="24"/>
  <c r="N6" i="24"/>
  <c r="Q6" i="24"/>
  <c r="F19" i="24" s="1"/>
  <c r="G19" i="24" s="1"/>
  <c r="F12" i="24"/>
  <c r="C25" i="24"/>
  <c r="F11" i="24"/>
  <c r="M11" i="24" s="1"/>
  <c r="C24" i="24"/>
  <c r="I24" i="24"/>
  <c r="G12" i="24"/>
  <c r="M12" i="24"/>
  <c r="G11" i="24"/>
  <c r="F20" i="24" l="1"/>
  <c r="G20" i="24" s="1"/>
  <c r="A44" i="30"/>
  <c r="C42" i="30"/>
  <c r="N11" i="24"/>
  <c r="Q11" i="24"/>
  <c r="F24" i="24" s="1"/>
  <c r="G24" i="24" s="1"/>
  <c r="N12" i="24"/>
  <c r="Q12" i="24"/>
  <c r="F25" i="24" s="1"/>
  <c r="G25" i="24" s="1"/>
  <c r="A45" i="30" l="1"/>
  <c r="C43" i="30"/>
  <c r="A46" i="30" l="1"/>
  <c r="C44" i="30"/>
  <c r="A47" i="30" l="1"/>
  <c r="C45" i="30"/>
  <c r="C46" i="30" l="1"/>
  <c r="A48" i="30"/>
  <c r="C47" i="30" l="1"/>
  <c r="A49" i="30"/>
  <c r="C48" i="30" l="1"/>
  <c r="A50" i="30"/>
  <c r="C49" i="30" l="1"/>
  <c r="A51" i="30"/>
  <c r="A52" i="30" l="1"/>
  <c r="C50" i="30"/>
  <c r="A53" i="30" l="1"/>
  <c r="C51" i="30"/>
  <c r="A54" i="30" l="1"/>
  <c r="C52" i="30"/>
  <c r="C53" i="30" l="1"/>
  <c r="A55" i="30"/>
  <c r="A56" i="30" l="1"/>
  <c r="C54" i="30"/>
  <c r="C55" i="30" l="1"/>
  <c r="A57" i="30"/>
  <c r="C56" i="30" l="1"/>
  <c r="A58" i="30"/>
  <c r="A59" i="30" l="1"/>
  <c r="C58" i="30" s="1"/>
  <c r="C57"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Erin Malone</author>
  </authors>
  <commentList>
    <comment ref="BX34" authorId="0" shapeId="0" xr:uid="{E38843A5-7B18-6B45-A5A5-E01489AA4897}">
      <text>
        <r>
          <rPr>
            <sz val="9"/>
            <color indexed="81"/>
            <rFont val="Tahoma"/>
            <family val="2"/>
          </rPr>
          <t>2016$ for 2016-2018
2019$ for 2019-2021</t>
        </r>
      </text>
    </comment>
    <comment ref="BY34" authorId="0" shapeId="0" xr:uid="{8C128223-8E19-BB49-A377-073EF0DC59C4}">
      <text>
        <r>
          <rPr>
            <sz val="9"/>
            <color indexed="81"/>
            <rFont val="Tahoma"/>
            <family val="2"/>
          </rPr>
          <t>2016$ for 2016-2018
2019$ for 2019-2021</t>
        </r>
      </text>
    </comment>
    <comment ref="BZ34" authorId="0" shapeId="0" xr:uid="{61676C76-0144-8945-B1A1-F006C1213F0F}">
      <text>
        <r>
          <rPr>
            <sz val="9"/>
            <color indexed="81"/>
            <rFont val="Tahoma"/>
            <family val="2"/>
          </rPr>
          <t>2016$ for 2016-2018
2019$ for 2019-2021</t>
        </r>
      </text>
    </comment>
    <comment ref="CA34" authorId="0" shapeId="0" xr:uid="{34CA4EC4-A009-C643-9AA3-3A9A0C404E19}">
      <text>
        <r>
          <rPr>
            <sz val="9"/>
            <color indexed="81"/>
            <rFont val="Tahoma"/>
            <family val="2"/>
          </rPr>
          <t>2016$ for 2016-2018
2019$ for 2019-2021</t>
        </r>
      </text>
    </comment>
    <comment ref="CB34" authorId="0" shapeId="0" xr:uid="{8E14BA1B-90CD-8242-BBCA-F5B83166576D}">
      <text>
        <r>
          <rPr>
            <sz val="9"/>
            <color indexed="81"/>
            <rFont val="Tahoma"/>
            <family val="2"/>
          </rPr>
          <t>2016$ for 2016-2018
2019$ for 2019-2021</t>
        </r>
      </text>
    </comment>
    <comment ref="BJ58" authorId="0" shapeId="0" xr:uid="{0D500CFB-0D9F-1D47-8A57-E1D9F64C00A7}">
      <text>
        <r>
          <rPr>
            <sz val="9"/>
            <color rgb="FF000000"/>
            <rFont val="Tahoma"/>
            <family val="2"/>
          </rPr>
          <t xml:space="preserve">2016$ for 2016-2018
</t>
        </r>
        <r>
          <rPr>
            <sz val="9"/>
            <color rgb="FF000000"/>
            <rFont val="Tahoma"/>
            <family val="2"/>
          </rPr>
          <t>2019$ for 2019-2021</t>
        </r>
      </text>
    </comment>
    <comment ref="BL58" authorId="0" shapeId="0" xr:uid="{44F9DF1C-C3F3-B74A-8A25-46A2D88B098A}">
      <text>
        <r>
          <rPr>
            <sz val="9"/>
            <color rgb="FF000000"/>
            <rFont val="Tahoma"/>
            <family val="2"/>
          </rPr>
          <t xml:space="preserve">2016$ for 2016-2018
</t>
        </r>
        <r>
          <rPr>
            <sz val="9"/>
            <color rgb="FF000000"/>
            <rFont val="Tahoma"/>
            <family val="2"/>
          </rPr>
          <t>2019$ for 2019-2021</t>
        </r>
      </text>
    </comment>
    <comment ref="BM58" authorId="0" shapeId="0" xr:uid="{3BFA393E-2932-E047-B8A4-4E1DEED6CEE5}">
      <text>
        <r>
          <rPr>
            <sz val="9"/>
            <color rgb="FF000000"/>
            <rFont val="Tahoma"/>
            <family val="2"/>
          </rPr>
          <t xml:space="preserve">2016$ for 2016-2018
</t>
        </r>
        <r>
          <rPr>
            <sz val="9"/>
            <color rgb="FF000000"/>
            <rFont val="Tahoma"/>
            <family val="2"/>
          </rPr>
          <t>2019$ for 2019-2021</t>
        </r>
      </text>
    </comment>
    <comment ref="BO58" authorId="0" shapeId="0" xr:uid="{9FFFB6C0-5596-CD4C-A273-D73F714DA3DE}">
      <text>
        <r>
          <rPr>
            <sz val="9"/>
            <color rgb="FF000000"/>
            <rFont val="Tahoma"/>
            <family val="2"/>
          </rPr>
          <t xml:space="preserve">2016$ for 2016-2018
</t>
        </r>
        <r>
          <rPr>
            <sz val="9"/>
            <color rgb="FF000000"/>
            <rFont val="Tahoma"/>
            <family val="2"/>
          </rPr>
          <t>2019$ for 2019-2021</t>
        </r>
      </text>
    </comment>
  </commentList>
</comments>
</file>

<file path=xl/sharedStrings.xml><?xml version="1.0" encoding="utf-8"?>
<sst xmlns="http://schemas.openxmlformats.org/spreadsheetml/2006/main" count="1524" uniqueCount="427">
  <si>
    <t>Commercial Program</t>
  </si>
  <si>
    <t>Commercial Custom</t>
  </si>
  <si>
    <t>Prescriptive Downstream</t>
  </si>
  <si>
    <t>Direct Install</t>
  </si>
  <si>
    <t>Prescriptive Midstream</t>
  </si>
  <si>
    <t>Incentive Costs</t>
  </si>
  <si>
    <t>Promotion Costs</t>
  </si>
  <si>
    <t>Delivery Costs</t>
  </si>
  <si>
    <t>Admin Costs</t>
  </si>
  <si>
    <t>Total</t>
  </si>
  <si>
    <t>Year</t>
  </si>
  <si>
    <t>Notes</t>
  </si>
  <si>
    <t>Net Annual Natural Gas Savings (m3)</t>
  </si>
  <si>
    <t>Net Cumulative Natural Gas Savings (m3)</t>
  </si>
  <si>
    <t>Number of Unique Participants</t>
  </si>
  <si>
    <t>Source Savings and Participation: I.5.EGI.GEC.6_Attachment 1</t>
  </si>
  <si>
    <t>Source Costs: I.6.EGI.STAFF.13_Attachment 1</t>
  </si>
  <si>
    <t xml:space="preserve">Total </t>
  </si>
  <si>
    <t>Rate Class</t>
  </si>
  <si>
    <t>Rate 1</t>
  </si>
  <si>
    <t>Rate 6</t>
  </si>
  <si>
    <t>Rate 9</t>
  </si>
  <si>
    <t>Rate 100</t>
  </si>
  <si>
    <t>Rate 110</t>
  </si>
  <si>
    <t>Rate 115</t>
  </si>
  <si>
    <t>Rate 135</t>
  </si>
  <si>
    <t>Rate 145</t>
  </si>
  <si>
    <t>Rate 170</t>
  </si>
  <si>
    <t>Commercial</t>
  </si>
  <si>
    <t>EGD</t>
  </si>
  <si>
    <t>Union South</t>
  </si>
  <si>
    <t>M1</t>
  </si>
  <si>
    <t>M2</t>
  </si>
  <si>
    <t>Union North</t>
  </si>
  <si>
    <t>R01</t>
  </si>
  <si>
    <t>R10</t>
  </si>
  <si>
    <t>Rate 125</t>
  </si>
  <si>
    <t>Rate 200</t>
  </si>
  <si>
    <t>Rate 300</t>
  </si>
  <si>
    <t>Rate 315</t>
  </si>
  <si>
    <t>Rate_20</t>
  </si>
  <si>
    <t>Rate_25</t>
  </si>
  <si>
    <t>Rate_100</t>
  </si>
  <si>
    <t>Rate_M4</t>
  </si>
  <si>
    <t>Rate_M5</t>
  </si>
  <si>
    <t>Rate_M7</t>
  </si>
  <si>
    <t>Rate_M9</t>
  </si>
  <si>
    <t>Rate_M10</t>
  </si>
  <si>
    <t>Rate_T1</t>
  </si>
  <si>
    <t>Rate_T2</t>
  </si>
  <si>
    <t>Rate_T3</t>
  </si>
  <si>
    <t>Home Winterproofing</t>
  </si>
  <si>
    <t>Residential Savings by Design</t>
  </si>
  <si>
    <t>Commercial Savings by Design</t>
  </si>
  <si>
    <t>School Energy Competition</t>
  </si>
  <si>
    <t>%</t>
  </si>
  <si>
    <t>Optimum Home</t>
  </si>
  <si>
    <t>Open Bill Project</t>
  </si>
  <si>
    <t>Program</t>
  </si>
  <si>
    <t>Sources</t>
  </si>
  <si>
    <t>Industrial Custom</t>
  </si>
  <si>
    <t>Residential Program</t>
  </si>
  <si>
    <t>Residential Whole Home</t>
  </si>
  <si>
    <t>Residential Smart Home</t>
  </si>
  <si>
    <t>Low Income Program</t>
  </si>
  <si>
    <t>Affordable Housing Multi-Residential</t>
  </si>
  <si>
    <t>Industrial Program</t>
  </si>
  <si>
    <t>Large Volume Program</t>
  </si>
  <si>
    <t>Building Beyond Code Program</t>
  </si>
  <si>
    <t>Affordable Housing Savings By Design</t>
  </si>
  <si>
    <t>Market Transformation &amp; Energy Management Programs</t>
  </si>
  <si>
    <t>Run It Right / RunSmart</t>
  </si>
  <si>
    <t>Comprehensive / Strategic Energy Management</t>
  </si>
  <si>
    <t>Home Labelling (2015)</t>
  </si>
  <si>
    <t>2015-2022 Other</t>
  </si>
  <si>
    <t>Energy Savings Kits (2015)</t>
  </si>
  <si>
    <t>Furnace End-of-Life (2016-2022)</t>
  </si>
  <si>
    <t>Indigenous (2016-2022)</t>
  </si>
  <si>
    <t>My Home Health Record (2015)</t>
  </si>
  <si>
    <t>N/A</t>
  </si>
  <si>
    <t>Residential Single Measure1</t>
  </si>
  <si>
    <t>Commercial Custom2</t>
  </si>
  <si>
    <t>Prescriptive Downstream3</t>
  </si>
  <si>
    <t>Industrial Custom4</t>
  </si>
  <si>
    <t>Direct Access5</t>
  </si>
  <si>
    <t>Energy Performance Program1</t>
  </si>
  <si>
    <t>Commercial Air Tightness Testing1</t>
  </si>
  <si>
    <t>Low Carbon Transition Program1</t>
  </si>
  <si>
    <t>Metric</t>
  </si>
  <si>
    <t>ALL PROGRAM SAVINGS</t>
  </si>
  <si>
    <t>ALL PROGRAM COSTS</t>
  </si>
  <si>
    <t>2015 DSM Actual Spend</t>
  </si>
  <si>
    <t>Residential Single Measure3</t>
  </si>
  <si>
    <t>Commercial Custom4</t>
  </si>
  <si>
    <t>Prescriptive Downstream5</t>
  </si>
  <si>
    <t>Prescriptive Midstream6</t>
  </si>
  <si>
    <t>Industrial Custom7</t>
  </si>
  <si>
    <t>Direct Access8</t>
  </si>
  <si>
    <t>Energy Performance Program3</t>
  </si>
  <si>
    <t>Whole Building Pay For Performance (P4P)</t>
  </si>
  <si>
    <t>Commercial Air Tightness Testing3</t>
  </si>
  <si>
    <t>Low Carbon Transition Program3</t>
  </si>
  <si>
    <t>Residential Low Carbon</t>
  </si>
  <si>
    <t>Commercial Low Carbon</t>
  </si>
  <si>
    <t>Market Transformation &amp; Energy Management Programs9</t>
  </si>
  <si>
    <t>2015-2022 Other9</t>
  </si>
  <si>
    <t>Program Subtotal</t>
  </si>
  <si>
    <t>Administration Costs</t>
  </si>
  <si>
    <t>Portfolio Administration2</t>
  </si>
  <si>
    <t>System Maintenance &amp; Improvements10</t>
  </si>
  <si>
    <t>Municipal Engagement11</t>
  </si>
  <si>
    <t>Evaluation and Regulatory Costs</t>
  </si>
  <si>
    <t xml:space="preserve">EM&amp;V </t>
  </si>
  <si>
    <t>Regulatory &amp; Stakeholdering11</t>
  </si>
  <si>
    <t>Process and Market Evaluation11</t>
  </si>
  <si>
    <t>Research and Development Costs</t>
  </si>
  <si>
    <t>Research Innovation Fund12</t>
  </si>
  <si>
    <t>Market Data11</t>
  </si>
  <si>
    <t>Other</t>
  </si>
  <si>
    <t>Achievable Potential Study</t>
  </si>
  <si>
    <t>Energy Literacy</t>
  </si>
  <si>
    <t>Integrated Resource Planning</t>
  </si>
  <si>
    <t>Miscellaneous Admin</t>
  </si>
  <si>
    <t>Portfolio Subtotal</t>
  </si>
  <si>
    <t>% more savings than EGI proposed</t>
  </si>
  <si>
    <t>Sum of Net Annual Gas Savings (m3)</t>
  </si>
  <si>
    <t>Incentive %</t>
  </si>
  <si>
    <t>EGI Commercail Sorecard Targets</t>
  </si>
  <si>
    <t>Large Customer Net Annual Savings (m3)</t>
  </si>
  <si>
    <t>Small Customer Net Annual Savings (m3)</t>
  </si>
  <si>
    <t>2023 100% Target</t>
  </si>
  <si>
    <t>Incentive $</t>
  </si>
  <si>
    <t>Higher Incentive</t>
  </si>
  <si>
    <t>Higher Incentive $</t>
  </si>
  <si>
    <t>Incentive Difference</t>
  </si>
  <si>
    <t>All Commercial</t>
  </si>
  <si>
    <t>Small Commercial</t>
  </si>
  <si>
    <t>Increase Incentive %</t>
  </si>
  <si>
    <t>Higher m3 Savings</t>
  </si>
  <si>
    <t>Higher Participants</t>
  </si>
  <si>
    <t>Same participants</t>
  </si>
  <si>
    <t>More Participants</t>
  </si>
  <si>
    <t>m3 Difference</t>
  </si>
  <si>
    <t>Orig Payback</t>
  </si>
  <si>
    <t>Revised Payback</t>
  </si>
  <si>
    <t>Orig Participation %</t>
  </si>
  <si>
    <t>Revised Participation %</t>
  </si>
  <si>
    <t>Percent More Savings from increasing Incentives and adding all cost-effective Rx measures</t>
  </si>
  <si>
    <t>Incentive$ / m3</t>
  </si>
  <si>
    <t>Add All Cost-effective Measures and Higher Incentives</t>
  </si>
  <si>
    <t>Input</t>
  </si>
  <si>
    <t>Row Labels</t>
  </si>
  <si>
    <t>Sum of Incentive Costs - Measure Level ($)</t>
  </si>
  <si>
    <t>Sum of Gross Participant Equipment Costs ($)</t>
  </si>
  <si>
    <t>Sum of Gross Annual Gas Savings (m3)</t>
  </si>
  <si>
    <t>Sum of Number of Projects / Number of Units 4 5</t>
  </si>
  <si>
    <t>NtG Ratio</t>
  </si>
  <si>
    <t>Gross Cost / Participant</t>
  </si>
  <si>
    <t>Incentive / Participant</t>
  </si>
  <si>
    <t>Gross Cost / Grossm3</t>
  </si>
  <si>
    <t>Incentive $/ Gross m3</t>
  </si>
  <si>
    <t>Gross Savings m3/ Particpiant</t>
  </si>
  <si>
    <t>Simple Payback</t>
  </si>
  <si>
    <t>Direct Access</t>
  </si>
  <si>
    <t xml:space="preserve">Home Winterproofing </t>
  </si>
  <si>
    <t>Residential Single Measure</t>
  </si>
  <si>
    <t>Grand Total</t>
  </si>
  <si>
    <t>Filed:  2021-11-15, EB-2021-0002, Exhibit I.5.EGI.GEC.7, Attachment 1</t>
  </si>
  <si>
    <t>SUBTOTALS</t>
  </si>
  <si>
    <r>
      <t xml:space="preserve">Program </t>
    </r>
    <r>
      <rPr>
        <b/>
        <vertAlign val="superscript"/>
        <sz val="10"/>
        <rFont val="Arial"/>
        <family val="2"/>
      </rPr>
      <t>1 2 3</t>
    </r>
  </si>
  <si>
    <t>Offering</t>
  </si>
  <si>
    <t>Measure</t>
  </si>
  <si>
    <r>
      <t xml:space="preserve">Number of Projects / Number of Units </t>
    </r>
    <r>
      <rPr>
        <b/>
        <vertAlign val="superscript"/>
        <sz val="10"/>
        <rFont val="Arial"/>
        <family val="2"/>
      </rPr>
      <t>4 5</t>
    </r>
  </si>
  <si>
    <r>
      <t xml:space="preserve">Average NTG (%) </t>
    </r>
    <r>
      <rPr>
        <b/>
        <vertAlign val="superscript"/>
        <sz val="10"/>
        <rFont val="Arial"/>
        <family val="2"/>
      </rPr>
      <t>6</t>
    </r>
  </si>
  <si>
    <t>Adjustment Factor (%)</t>
  </si>
  <si>
    <r>
      <t xml:space="preserve">Average EUL (years) </t>
    </r>
    <r>
      <rPr>
        <b/>
        <vertAlign val="superscript"/>
        <sz val="10"/>
        <rFont val="Arial"/>
        <family val="2"/>
      </rPr>
      <t>7</t>
    </r>
  </si>
  <si>
    <t>Gross Annual Gas Savings (m3/unit)</t>
  </si>
  <si>
    <t>Gross Annual Electricity Savings (kWh/unit)</t>
  </si>
  <si>
    <t>Gross Annual Water Savings (m3/unit)</t>
  </si>
  <si>
    <t>Gross Incremental Equipment Costs ($/unit)</t>
  </si>
  <si>
    <r>
      <t xml:space="preserve">Budgeted Incentive Cost Per Unit ($/unit) </t>
    </r>
    <r>
      <rPr>
        <b/>
        <vertAlign val="superscript"/>
        <sz val="10"/>
        <rFont val="Arial"/>
        <family val="2"/>
      </rPr>
      <t>8</t>
    </r>
  </si>
  <si>
    <t>Gross Annual Gas Savings (m3)</t>
  </si>
  <si>
    <t>Net Annual Gas Savings (m3)</t>
  </si>
  <si>
    <t>Gross Annual Electricity Savings (kWh)</t>
  </si>
  <si>
    <r>
      <t xml:space="preserve">Net Annual Electricity Savings (kWh) </t>
    </r>
    <r>
      <rPr>
        <b/>
        <vertAlign val="superscript"/>
        <sz val="10"/>
        <rFont val="Arial"/>
        <family val="2"/>
      </rPr>
      <t>9</t>
    </r>
  </si>
  <si>
    <t>Gross Annual Water Savings (m3)</t>
  </si>
  <si>
    <r>
      <t xml:space="preserve">Net Annual Water Savings (m3) </t>
    </r>
    <r>
      <rPr>
        <b/>
        <vertAlign val="superscript"/>
        <sz val="10"/>
        <rFont val="Arial"/>
        <family val="2"/>
      </rPr>
      <t>9</t>
    </r>
  </si>
  <si>
    <t>Gross Participant Equipment Costs ($)</t>
  </si>
  <si>
    <r>
      <t xml:space="preserve">Net Participant Equipment Costs ($) </t>
    </r>
    <r>
      <rPr>
        <b/>
        <vertAlign val="superscript"/>
        <sz val="10"/>
        <rFont val="Arial"/>
        <family val="2"/>
      </rPr>
      <t>9</t>
    </r>
  </si>
  <si>
    <t>Gross Cumulative Gas Savings (m3)</t>
  </si>
  <si>
    <r>
      <t xml:space="preserve">Net Cumulative Gas Savings (m3) </t>
    </r>
    <r>
      <rPr>
        <b/>
        <vertAlign val="superscript"/>
        <sz val="10"/>
        <rFont val="Arial"/>
        <family val="2"/>
      </rPr>
      <t>9</t>
    </r>
  </si>
  <si>
    <t>Incentive Costs - Measure Level ($)</t>
  </si>
  <si>
    <t>Incentive % of Cost</t>
  </si>
  <si>
    <t>NtG</t>
  </si>
  <si>
    <t>Custom/Prescriptive</t>
  </si>
  <si>
    <t>Whole Home Custom</t>
  </si>
  <si>
    <t>Adaptive Thermostat</t>
  </si>
  <si>
    <t>Adaptive Thermostat (Moderate Income)</t>
  </si>
  <si>
    <t>Residential Air Sealing</t>
  </si>
  <si>
    <t>Residential Attic</t>
  </si>
  <si>
    <t>Residential Wall</t>
  </si>
  <si>
    <t>Residential Basement (includes crawl space, slab on grade, and pony wall)</t>
  </si>
  <si>
    <t>Air Curtains</t>
  </si>
  <si>
    <t>Dock Doors Seals</t>
  </si>
  <si>
    <t>DCKV</t>
  </si>
  <si>
    <t>Ozone Laundry</t>
  </si>
  <si>
    <t>DCV</t>
  </si>
  <si>
    <t>Destratification Fan</t>
  </si>
  <si>
    <t>ERV Improved Effectiveness</t>
  </si>
  <si>
    <t>ERV</t>
  </si>
  <si>
    <t>HRV Improved Effectiveness</t>
  </si>
  <si>
    <t>HRV</t>
  </si>
  <si>
    <t>MUA</t>
  </si>
  <si>
    <t>Condensing Unit Heater</t>
  </si>
  <si>
    <t>Commercial Under-Fired Broiler</t>
  </si>
  <si>
    <t>Condensing Tankless Water Heater</t>
  </si>
  <si>
    <t>Commercial Energy Star Fryer</t>
  </si>
  <si>
    <t>Commercial Energy Star Steam Cooker</t>
  </si>
  <si>
    <t>Commercial Energy Star Convention Oven</t>
  </si>
  <si>
    <t>Commercial Energy Star Rack Oven - Single Rack</t>
  </si>
  <si>
    <t>Commercial Energy Star Rack Oven - Double Rack</t>
  </si>
  <si>
    <t>Combi-Ovens</t>
  </si>
  <si>
    <t>Commercial Griddles</t>
  </si>
  <si>
    <t>Conveyor Ovens</t>
  </si>
  <si>
    <t>HWP - Insulation</t>
  </si>
  <si>
    <t>Adaptive Thermostat - Prescriptive</t>
  </si>
  <si>
    <t>Basic Measures - Prescriptive</t>
  </si>
  <si>
    <t>Refer to Notes on final page</t>
  </si>
  <si>
    <t>1.</t>
  </si>
  <si>
    <t xml:space="preserve">Measure-level data for 2024-2027 are not provided in this file as forecast results for 2024-2027 have been derived through the Target Adjustment Mechanism by achievement of 100% of targets, year over year. </t>
  </si>
  <si>
    <t>2.</t>
  </si>
  <si>
    <t xml:space="preserve">The Energy Performance Program is not included as there are no savings in the first year of the program (2023). </t>
  </si>
  <si>
    <t>3.</t>
  </si>
  <si>
    <t>The data provided does not include details on Building Beyond Code and Low Carbon Programs as there are no measured savings for these programs.</t>
  </si>
  <si>
    <t>4.</t>
  </si>
  <si>
    <t>The following offerings display number of units:</t>
  </si>
  <si>
    <t>Affordable Housing Multi-Residential [Prescriptive Component]</t>
  </si>
  <si>
    <t>Home Winterproofing [Prescriptive Component]</t>
  </si>
  <si>
    <t>5.</t>
  </si>
  <si>
    <t>The following offerings display number of projects:</t>
  </si>
  <si>
    <t>Affordable Housing Multi-Residential [Custom Component]</t>
  </si>
  <si>
    <t>Home Winterproofing [Custom Component]</t>
  </si>
  <si>
    <t>6.</t>
  </si>
  <si>
    <t xml:space="preserve">For NTG, within a sub category/measure if multiple NTG values were present, an average was used.  </t>
  </si>
  <si>
    <t>7.</t>
  </si>
  <si>
    <t>For EUL, within a sub category/measure if multiple EULs values were present, an average value was used.  This may have resulted in an EUL with decimal places.</t>
  </si>
  <si>
    <t>8.</t>
  </si>
  <si>
    <t xml:space="preserve">Budgeted Incentive Cost Per Unit ($/unit) will vary from the standard customer incentive rates due to factors such as time-limited promotions, DNQs, etc. </t>
  </si>
  <si>
    <t>9.</t>
  </si>
  <si>
    <t xml:space="preserve">Due to the bundling of Commercial Custom and Industrial Custom, the NTG value is weighted based on Net Annual Gas Savings. Therefore, the calculations of the following fields could vary slightly. </t>
  </si>
  <si>
    <t xml:space="preserve">Net Annual Electricity Savings (kWh), </t>
  </si>
  <si>
    <t>Net Annual Water Savings (m3)</t>
  </si>
  <si>
    <t>Net Participant Equipment Costs</t>
  </si>
  <si>
    <t>Net Cumulative Gas Saved (m3)</t>
  </si>
  <si>
    <t>From: https://www.oeb.ca/consumer-information-and-protection/bill-calculator</t>
  </si>
  <si>
    <t>January Month Example for Union Gas South Small Business Customer</t>
  </si>
  <si>
    <t>Customer Charge</t>
  </si>
  <si>
    <t>Delivery</t>
  </si>
  <si>
    <t>Delivery Charge Price Adjustment</t>
  </si>
  <si>
    <t>Gas Supply Charge</t>
  </si>
  <si>
    <t>Cost Adjustment</t>
  </si>
  <si>
    <t>Transportation Charges</t>
  </si>
  <si>
    <t>Transportation Price Adjustment</t>
  </si>
  <si>
    <t>Storage Charges</t>
  </si>
  <si>
    <t>Federal Carbon Charge</t>
  </si>
  <si>
    <t>Total Natural Gas Charges</t>
  </si>
  <si>
    <t>HST</t>
  </si>
  <si>
    <t>Total Amount</t>
  </si>
  <si>
    <t>Total Usage (m3)</t>
  </si>
  <si>
    <t>Usage based charges (Total $)_</t>
  </si>
  <si>
    <t>Usage based charges ($/m3)</t>
  </si>
  <si>
    <t>Source: 2019 Integrated Ontario Electricity and Natural Gas Achievable Potential Study. Navigant. December 10, 2019</t>
  </si>
  <si>
    <t>Payback</t>
  </si>
  <si>
    <t>Estimated Fraction of Population</t>
  </si>
  <si>
    <t>Commercial: Business Facilities</t>
  </si>
  <si>
    <t>Formula</t>
  </si>
  <si>
    <t>X4</t>
  </si>
  <si>
    <t>X3</t>
  </si>
  <si>
    <t>X2</t>
  </si>
  <si>
    <t>X1</t>
  </si>
  <si>
    <t>Intc</t>
  </si>
  <si>
    <t>Formula Estimate</t>
  </si>
  <si>
    <t>Net Gas Savigns (m3) Difference</t>
  </si>
  <si>
    <t>Adoption Curve</t>
  </si>
  <si>
    <t>Average Incremental Annual Savings</t>
  </si>
  <si>
    <t xml:space="preserve">Technical </t>
  </si>
  <si>
    <t>Economic</t>
  </si>
  <si>
    <t>Achievable (Low)</t>
  </si>
  <si>
    <t>Achievable (Med)</t>
  </si>
  <si>
    <t>Achievable (High)</t>
  </si>
  <si>
    <t>Sector</t>
  </si>
  <si>
    <t>Fuel</t>
  </si>
  <si>
    <t>Jurisdiction</t>
  </si>
  <si>
    <t>Reference Forecast Period</t>
  </si>
  <si>
    <t>Gas</t>
  </si>
  <si>
    <t>Ontario</t>
  </si>
  <si>
    <t>2019-2038</t>
  </si>
  <si>
    <t>Source: Page H-4</t>
  </si>
  <si>
    <t>Source: page F-3</t>
  </si>
  <si>
    <t>Commercial Savings Potential</t>
  </si>
  <si>
    <t>Legacy Rate Zone</t>
  </si>
  <si>
    <t>RATE LOOKUP</t>
  </si>
  <si>
    <t>Savings as. Percent of Sles</t>
  </si>
  <si>
    <t>Rate class that includes Small Business</t>
  </si>
  <si>
    <t>Yes</t>
  </si>
  <si>
    <t>Subtotal - EGD Rate Zone</t>
  </si>
  <si>
    <t>M4</t>
  </si>
  <si>
    <t>M5</t>
  </si>
  <si>
    <t>M7</t>
  </si>
  <si>
    <t>M9</t>
  </si>
  <si>
    <t>M10</t>
  </si>
  <si>
    <t>T1</t>
  </si>
  <si>
    <t>T2</t>
  </si>
  <si>
    <t>T3</t>
  </si>
  <si>
    <t>Subtotal - Union South Rate Zone</t>
  </si>
  <si>
    <t>R20</t>
  </si>
  <si>
    <t>R25</t>
  </si>
  <si>
    <t>R100</t>
  </si>
  <si>
    <t>Subtotal - Union North Rate Zone</t>
  </si>
  <si>
    <t xml:space="preserve">Filed:  2021-11-15
EB-2021-0002
Exhibit I.5.EGI.GEC.10
Attachment 2
Page 1 of 1
</t>
  </si>
  <si>
    <t>Enbridge Gas Inc.</t>
  </si>
  <si>
    <r>
      <t>EGI Forecast Volumes by Rate Classes (10</t>
    </r>
    <r>
      <rPr>
        <b/>
        <vertAlign val="superscript"/>
        <sz val="11"/>
        <color theme="1"/>
        <rFont val="Calibri"/>
        <family val="2"/>
        <scheme val="minor"/>
      </rPr>
      <t>3</t>
    </r>
    <r>
      <rPr>
        <b/>
        <sz val="11"/>
        <color theme="1"/>
        <rFont val="Calibri"/>
        <family val="2"/>
        <scheme val="minor"/>
      </rPr>
      <t xml:space="preserve"> m</t>
    </r>
    <r>
      <rPr>
        <b/>
        <vertAlign val="superscript"/>
        <sz val="11"/>
        <color theme="1"/>
        <rFont val="Calibri"/>
        <family val="2"/>
        <scheme val="minor"/>
      </rPr>
      <t>3</t>
    </r>
    <r>
      <rPr>
        <b/>
        <sz val="11"/>
        <color theme="1"/>
        <rFont val="Calibri"/>
        <family val="2"/>
        <scheme val="minor"/>
      </rPr>
      <t>)</t>
    </r>
  </si>
  <si>
    <t>General Service/Rate Zone</t>
  </si>
  <si>
    <t>LOOKUP</t>
  </si>
  <si>
    <t>Contract Market / Rate Zone</t>
  </si>
  <si>
    <t>Total EGI Volumes</t>
  </si>
  <si>
    <t>Filed:  2021-11-15, EB-2021-0002, Exhibit I.5.EGI.GEC.5, Attachment 1</t>
  </si>
  <si>
    <t>Number of Projects/Units</t>
  </si>
  <si>
    <t>Massachusetts</t>
  </si>
  <si>
    <t>US$</t>
  </si>
  <si>
    <t>CAD$</t>
  </si>
  <si>
    <t>$CAD/$US</t>
  </si>
  <si>
    <t>Projected</t>
  </si>
  <si>
    <t>Inflation</t>
  </si>
  <si>
    <t>Spending Excluding Performance Incentive</t>
  </si>
  <si>
    <t>$ / m3</t>
  </si>
  <si>
    <t>Initiative</t>
  </si>
  <si>
    <t>C1 - C&amp;I New Buildings</t>
  </si>
  <si>
    <t>C1a - C&amp;I New Buildings &amp; Major Renovations</t>
  </si>
  <si>
    <t>C1b - C&amp;I Initial Purchase &amp; End of Useful Life</t>
  </si>
  <si>
    <t>C2 - C&amp;I Existing Buildings</t>
  </si>
  <si>
    <t>C2a - C&amp;I Existing Building Retrofit</t>
  </si>
  <si>
    <t>C2b - C&amp;I New &amp; Replacement Equipment</t>
  </si>
  <si>
    <t>C2b - C&amp;I Small Business</t>
  </si>
  <si>
    <t>C2c - C&amp;I Multifamily Retrofit</t>
  </si>
  <si>
    <t>C2d - C&amp;I Upstream Lighting</t>
  </si>
  <si>
    <t>C3 - C&amp;I Hard-to-Measure</t>
  </si>
  <si>
    <t>C3a - C&amp;I Statewide Marketing</t>
  </si>
  <si>
    <t>C3b - C&amp;I Statewide Database</t>
  </si>
  <si>
    <t>C3c - C&amp;I DOER Assessment</t>
  </si>
  <si>
    <t>C3d - C&amp;I EEAC Consultants</t>
  </si>
  <si>
    <t>C3d - C&amp;I Sponsorships &amp; Subscriptions</t>
  </si>
  <si>
    <t>C3e - C&amp;I Sponsorships &amp; Subscriptions</t>
  </si>
  <si>
    <t>C3e - C&amp;I Workforce Development</t>
  </si>
  <si>
    <t>C3f - C&amp;I Evaluation and Market Research</t>
  </si>
  <si>
    <t>C3f - C&amp;I Workforce Development</t>
  </si>
  <si>
    <t>C3g - C&amp;I EEAC Consultants</t>
  </si>
  <si>
    <t>C3g - C&amp;I R&amp;D and Demonstration</t>
  </si>
  <si>
    <t>C3h - C&amp;I R&amp;D and Demonstration</t>
  </si>
  <si>
    <t>MASS SAVE Program Data</t>
  </si>
  <si>
    <t>https://ma-eeac.org/wp-content/uploads/2020-PYR-Data-Tables-Statewide-Gas-Final.xlsx</t>
  </si>
  <si>
    <t>https://ma-eeac.org/wp-content/uploads/Statewide-2019-PYR-Data-Tables-Gas.xlsx</t>
  </si>
  <si>
    <t>2016 - 2018</t>
  </si>
  <si>
    <t>https://ma-eeac.org/wp-content/uploads/2016-2018-Term-Report-Tables-Statewide-Gas.xlsx</t>
  </si>
  <si>
    <t>Distribution Company</t>
  </si>
  <si>
    <t>Program Administrator</t>
  </si>
  <si>
    <t>Reporting Period</t>
  </si>
  <si>
    <t>Program Planning and Administration</t>
  </si>
  <si>
    <t>Marketing and Advertising</t>
  </si>
  <si>
    <t>Participant Incentive</t>
  </si>
  <si>
    <t>Sales, Technical Assistance &amp; Training</t>
  </si>
  <si>
    <t>Evaluation and Market Research</t>
  </si>
  <si>
    <t>Performance Incentive</t>
  </si>
  <si>
    <t>Participant Costs</t>
  </si>
  <si>
    <t>Benefit Burden</t>
  </si>
  <si>
    <t>Participants</t>
  </si>
  <si>
    <t>Net Summer Capacity (kW)</t>
  </si>
  <si>
    <t>Net Winter Capacity (kW)</t>
  </si>
  <si>
    <t>Adj Gross Annual Electric Energy (MWh)</t>
  </si>
  <si>
    <t>Adj Gross Lifetime Electric Energy (MWh)</t>
  </si>
  <si>
    <t>Net Annual Electric Energy (MWh)</t>
  </si>
  <si>
    <t>Net Lifetime Electric Energy (MWh)</t>
  </si>
  <si>
    <t>Net Annual Electric Energy (MWh) No FS or DR</t>
  </si>
  <si>
    <t>Net Lifetime Electric Energy (MWh) No FS or DR</t>
  </si>
  <si>
    <t>Net Annual Adjusted Electric Energy (MMBTU)</t>
  </si>
  <si>
    <t>Net Lifetime Adjusted Electric Energy (MMBTU)</t>
  </si>
  <si>
    <t>Adj Gross Annual Natural Gas (Therms)</t>
  </si>
  <si>
    <t>Adj Gross Lifetime Natural Gas (Therms)</t>
  </si>
  <si>
    <t>Net Annual Natural Gas (Therms)</t>
  </si>
  <si>
    <t>Net Lifetime Natural Gas (Therms)</t>
  </si>
  <si>
    <t>Adj Gross Annual Oil (MMBTU)</t>
  </si>
  <si>
    <t>Adj Gross Lifetime Oil (MMBTU)</t>
  </si>
  <si>
    <t>Net Annual Oil (MMBTU)</t>
  </si>
  <si>
    <t>Net Lifetime Oil (MMBTU)</t>
  </si>
  <si>
    <t>Adj Gross Annual Propane (MMBTU)</t>
  </si>
  <si>
    <t>Adj Gross Lifetime Propane (MMBTU)</t>
  </si>
  <si>
    <t>Net Annual Water (Gallons)</t>
  </si>
  <si>
    <t>Net Lifetime Water (Gallons)</t>
  </si>
  <si>
    <t>Lookup</t>
  </si>
  <si>
    <t>Net Annual Natural Gas (m3)</t>
  </si>
  <si>
    <t>Statewide Gas</t>
  </si>
  <si>
    <t>Evaluated</t>
  </si>
  <si>
    <t>C - Commercial &amp; Industrial</t>
  </si>
  <si>
    <t>Adj Gross Annual Natural Gas (MMBTU)</t>
  </si>
  <si>
    <t>Net Annual Natural Gas (MMBTU)</t>
  </si>
  <si>
    <t>Net Annual Propane (MMBTU)</t>
  </si>
  <si>
    <t>Net Lifetime Propane (MMBTU)</t>
  </si>
  <si>
    <t>C1 - C&amp;I New Construction</t>
  </si>
  <si>
    <t>C2 - C&amp;I Retrofit</t>
  </si>
  <si>
    <t>Estimation of Direct Install Program Impacts for Massachusett's style Turnkey Program</t>
  </si>
  <si>
    <t>MA Program Assumption</t>
  </si>
  <si>
    <t>Total Program Cost  ($CAD/ Net m3)</t>
  </si>
  <si>
    <t>New EGI Program Assumptions</t>
  </si>
  <si>
    <t>https://www.exchangerates.org.uk/CAD-USD-spot-exchange-rates-history-2018.html#:~:text=Currency%20Menu&amp;text=This%20is%20the%20Canadian%20Dollar,rate%20in%202018%3A%200.7717%20USD.</t>
  </si>
  <si>
    <t>Incentive %  (EGI proposed for Direct Install)</t>
  </si>
  <si>
    <t>New Direct Install budget</t>
  </si>
  <si>
    <t>Proposed EGI Direct Install</t>
  </si>
  <si>
    <t>Net Annual gas Savings (m3)</t>
  </si>
  <si>
    <t>New DI Program Values</t>
  </si>
  <si>
    <t>Budgets</t>
  </si>
  <si>
    <t>Calculation of C&amp;I Prescriptive Projection Increase</t>
  </si>
  <si>
    <t>Proposed DI Values</t>
  </si>
  <si>
    <t>Delta</t>
  </si>
  <si>
    <t>Diff from Proposed</t>
  </si>
  <si>
    <t>DI Savings (Net Annual m3)</t>
  </si>
  <si>
    <t>Commercial Program Budgets for 2023</t>
  </si>
  <si>
    <t>Portfolio Total Costs for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</si>
</sst>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0_);_(* \(#,##0.0\);_(* &quot;-&quot;??_);_(@_)"/>
    <numFmt numFmtId="167" formatCode="_(* #,##0_);_(* \(#,##0\);_(* &quot;-&quot;??_);_(@_)"/>
    <numFmt numFmtId="168" formatCode="0.0%"/>
    <numFmt numFmtId="169" formatCode="&quot;$&quot;#,##0.0000_);[Red]\(&quot;$&quot;#,##0.0000\)"/>
    <numFmt numFmtId="170" formatCode="0.000000"/>
    <numFmt numFmtId="171" formatCode="&quot;$&quot;#,##0.00"/>
  </numFmts>
  <fonts count="41" x14ac:knownFonts="1">
    <font>
      <sz val="12"/>
      <color theme="1"/>
      <name val="Calibri"/>
      <family val="2"/>
      <scheme val="minor"/>
    </font>
    <font>
      <sz val="12"/>
      <color theme="1"/>
      <name val="Calibri"/>
      <family val="2"/>
      <scheme val="minor"/>
    </font>
    <font>
      <b/>
      <sz val="12"/>
      <color theme="1"/>
      <name val="Calibri"/>
      <family val="2"/>
      <scheme val="minor"/>
    </font>
    <font>
      <sz val="9"/>
      <name val="Arial"/>
      <family val="2"/>
    </font>
    <font>
      <i/>
      <sz val="12"/>
      <color theme="1"/>
      <name val="Calibri"/>
      <family val="2"/>
      <scheme val="minor"/>
    </font>
    <font>
      <b/>
      <sz val="18"/>
      <color theme="1"/>
      <name val="Calibri"/>
      <family val="2"/>
      <scheme val="minor"/>
    </font>
    <font>
      <sz val="10"/>
      <name val="Arial"/>
      <family val="2"/>
    </font>
    <font>
      <b/>
      <sz val="14"/>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b/>
      <sz val="11"/>
      <color rgb="FF067583"/>
      <name val="Arial"/>
      <family val="2"/>
    </font>
    <font>
      <sz val="11"/>
      <color rgb="FF000000"/>
      <name val="Arial"/>
      <family val="2"/>
    </font>
    <font>
      <b/>
      <sz val="10"/>
      <name val="Arial"/>
      <family val="2"/>
    </font>
    <font>
      <sz val="10"/>
      <color theme="1"/>
      <name val="Arial"/>
      <family val="2"/>
    </font>
    <font>
      <b/>
      <sz val="11"/>
      <color rgb="FFFA7D00"/>
      <name val="Calibri"/>
      <family val="2"/>
      <scheme val="minor"/>
    </font>
    <font>
      <b/>
      <vertAlign val="superscript"/>
      <sz val="10"/>
      <name val="Arial"/>
      <family val="2"/>
    </font>
    <font>
      <sz val="11"/>
      <name val="Calibri"/>
      <family val="2"/>
    </font>
    <font>
      <b/>
      <sz val="10"/>
      <color theme="1"/>
      <name val="Arial"/>
      <family val="2"/>
    </font>
    <font>
      <sz val="11"/>
      <color theme="1"/>
      <name val="Arial"/>
      <family val="2"/>
    </font>
    <font>
      <b/>
      <sz val="13.2"/>
      <color rgb="FF000000"/>
      <name val="Arial"/>
      <family val="2"/>
    </font>
    <font>
      <sz val="9.9"/>
      <color rgb="FF666666"/>
      <name val="Arial"/>
      <family val="2"/>
    </font>
    <font>
      <b/>
      <sz val="14.3"/>
      <color rgb="FF000000"/>
      <name val="Arial"/>
      <family val="2"/>
    </font>
    <font>
      <i/>
      <sz val="11"/>
      <color theme="1"/>
      <name val="Calibri"/>
      <family val="2"/>
      <scheme val="minor"/>
    </font>
    <font>
      <b/>
      <sz val="11"/>
      <color theme="1"/>
      <name val="Arial"/>
      <family val="2"/>
    </font>
    <font>
      <b/>
      <vertAlign val="superscript"/>
      <sz val="11"/>
      <color theme="1"/>
      <name val="Calibri"/>
      <family val="2"/>
      <scheme val="minor"/>
    </font>
    <font>
      <sz val="11"/>
      <color rgb="FF0070C0"/>
      <name val="Calibri"/>
      <family val="2"/>
      <scheme val="minor"/>
    </font>
    <font>
      <sz val="11"/>
      <color rgb="FFFF0000"/>
      <name val="Calibri"/>
      <family val="2"/>
      <scheme val="minor"/>
    </font>
    <font>
      <u/>
      <sz val="12"/>
      <color theme="10"/>
      <name val="Calibri"/>
      <family val="2"/>
      <scheme val="minor"/>
    </font>
    <font>
      <b/>
      <sz val="11"/>
      <name val="Calibri"/>
      <family val="2"/>
      <scheme val="minor"/>
    </font>
    <font>
      <sz val="10"/>
      <color theme="1"/>
      <name val="Calibri"/>
      <family val="2"/>
      <scheme val="minor"/>
    </font>
    <font>
      <sz val="10"/>
      <color theme="1"/>
      <name val="Calibri"/>
      <family val="2"/>
    </font>
    <font>
      <sz val="16"/>
      <color theme="1"/>
      <name val="Calibri"/>
      <family val="2"/>
      <scheme val="minor"/>
    </font>
    <font>
      <sz val="10"/>
      <name val="Calibri"/>
      <family val="2"/>
      <scheme val="minor"/>
    </font>
    <font>
      <b/>
      <sz val="11"/>
      <color indexed="8"/>
      <name val="Calibri"/>
      <family val="2"/>
    </font>
    <font>
      <b/>
      <sz val="11"/>
      <name val="Calibri"/>
      <family val="2"/>
    </font>
    <font>
      <sz val="11"/>
      <color theme="1"/>
      <name val="Calibri"/>
      <family val="2"/>
    </font>
    <font>
      <sz val="9"/>
      <color indexed="81"/>
      <name val="Tahoma"/>
      <family val="2"/>
    </font>
    <font>
      <sz val="9"/>
      <color rgb="FF000000"/>
      <name val="Tahoma"/>
      <family val="2"/>
    </font>
  </fonts>
  <fills count="22">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theme="5" tint="0.79998168889431442"/>
        <bgColor indexed="64"/>
      </patternFill>
    </fill>
    <fill>
      <patternFill patternType="solid">
        <fgColor rgb="FFF2F2F2"/>
      </patternFill>
    </fill>
    <fill>
      <patternFill patternType="solid">
        <fgColor theme="5" tint="0.59999389629810485"/>
        <bgColor indexed="64"/>
      </patternFill>
    </fill>
    <fill>
      <patternFill patternType="solid">
        <fgColor rgb="FFD9E1F2"/>
        <bgColor rgb="FFD9E1F2"/>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CCFF99"/>
        <bgColor indexed="64"/>
      </patternFill>
    </fill>
    <fill>
      <patternFill patternType="solid">
        <fgColor rgb="FF99FF66"/>
        <bgColor indexed="64"/>
      </patternFill>
    </fill>
    <fill>
      <patternFill patternType="solid">
        <fgColor rgb="FFFFFF99"/>
        <bgColor indexed="64"/>
      </patternFill>
    </fill>
    <fill>
      <patternFill patternType="solid">
        <fgColor rgb="FFCCFFCC"/>
        <bgColor indexed="64"/>
      </patternFill>
    </fill>
    <fill>
      <patternFill patternType="solid">
        <fgColor indexed="41"/>
        <bgColor indexed="64"/>
      </patternFill>
    </fill>
    <fill>
      <patternFill patternType="solid">
        <fgColor rgb="FF92D050"/>
        <bgColor indexed="64"/>
      </patternFill>
    </fill>
  </fills>
  <borders count="54">
    <border>
      <left/>
      <right/>
      <top/>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rgb="FF8EA9DB"/>
      </bottom>
      <diagonal/>
    </border>
    <border>
      <left/>
      <right/>
      <top style="thin">
        <color rgb="FF8EA9DB"/>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auto="1"/>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auto="1"/>
      </top>
      <bottom/>
      <diagonal/>
    </border>
    <border>
      <left style="medium">
        <color indexed="64"/>
      </left>
      <right/>
      <top style="thin">
        <color auto="1"/>
      </top>
      <bottom style="double">
        <color auto="1"/>
      </bottom>
      <diagonal/>
    </border>
    <border>
      <left style="medium">
        <color indexed="64"/>
      </left>
      <right/>
      <top style="double">
        <color auto="1"/>
      </top>
      <bottom style="medium">
        <color indexed="64"/>
      </bottom>
      <diagonal/>
    </border>
    <border>
      <left/>
      <right/>
      <top style="double">
        <color auto="1"/>
      </top>
      <bottom style="medium">
        <color indexed="64"/>
      </bottom>
      <diagonal/>
    </border>
    <border>
      <left/>
      <right style="thin">
        <color auto="1"/>
      </right>
      <top style="double">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double">
        <color auto="1"/>
      </top>
      <bottom style="medium">
        <color indexed="64"/>
      </bottom>
      <diagonal/>
    </border>
    <border>
      <left/>
      <right style="medium">
        <color indexed="64"/>
      </right>
      <top style="double">
        <color auto="1"/>
      </top>
      <bottom style="medium">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7" fillId="9" borderId="18" applyNumberFormat="0" applyAlignment="0" applyProtection="0"/>
    <xf numFmtId="0" fontId="19" fillId="0" borderId="0"/>
    <xf numFmtId="0" fontId="30" fillId="0" borderId="0" applyNumberFormat="0" applyFill="0" applyBorder="0" applyAlignment="0" applyProtection="0"/>
    <xf numFmtId="0" fontId="10" fillId="0" borderId="0"/>
  </cellStyleXfs>
  <cellXfs count="299">
    <xf numFmtId="0" fontId="0" fillId="0" borderId="0" xfId="0"/>
    <xf numFmtId="0" fontId="2" fillId="0" borderId="0" xfId="0" applyFont="1"/>
    <xf numFmtId="0" fontId="4" fillId="0" borderId="0" xfId="0" applyFont="1"/>
    <xf numFmtId="9" fontId="0" fillId="0" borderId="0" xfId="3" applyFont="1"/>
    <xf numFmtId="167" fontId="2" fillId="0" borderId="0" xfId="1" applyNumberFormat="1" applyFont="1"/>
    <xf numFmtId="167" fontId="0" fillId="0" borderId="0" xfId="1" applyNumberFormat="1" applyFont="1"/>
    <xf numFmtId="0" fontId="5" fillId="0" borderId="0" xfId="0" applyFont="1"/>
    <xf numFmtId="0" fontId="0" fillId="3" borderId="0" xfId="0" applyFill="1"/>
    <xf numFmtId="165" fontId="0" fillId="0" borderId="0" xfId="0" applyNumberFormat="1"/>
    <xf numFmtId="167" fontId="0" fillId="0" borderId="0" xfId="0" applyNumberFormat="1"/>
    <xf numFmtId="43" fontId="0" fillId="0" borderId="0" xfId="0" applyNumberFormat="1"/>
    <xf numFmtId="0" fontId="2" fillId="0" borderId="0" xfId="1" applyNumberFormat="1" applyFont="1"/>
    <xf numFmtId="0" fontId="7" fillId="0" borderId="0" xfId="0" applyFont="1"/>
    <xf numFmtId="10" fontId="0" fillId="0" borderId="0" xfId="3" applyNumberFormat="1" applyFont="1"/>
    <xf numFmtId="44" fontId="0" fillId="0" borderId="0" xfId="2" applyFont="1"/>
    <xf numFmtId="9" fontId="0" fillId="6" borderId="0" xfId="0" applyNumberFormat="1" applyFill="1"/>
    <xf numFmtId="9" fontId="0" fillId="0" borderId="0" xfId="0" applyNumberFormat="1"/>
    <xf numFmtId="0" fontId="2" fillId="6" borderId="0" xfId="0" applyFont="1" applyFill="1"/>
    <xf numFmtId="167" fontId="0" fillId="6" borderId="0" xfId="1" applyNumberFormat="1" applyFont="1" applyFill="1"/>
    <xf numFmtId="0" fontId="0" fillId="6" borderId="0" xfId="0" applyFill="1"/>
    <xf numFmtId="0" fontId="0" fillId="0" borderId="15" xfId="0" applyBorder="1"/>
    <xf numFmtId="0" fontId="0" fillId="0" borderId="16" xfId="0" applyBorder="1"/>
    <xf numFmtId="0" fontId="0" fillId="0" borderId="17" xfId="0" applyBorder="1"/>
    <xf numFmtId="167" fontId="0" fillId="0" borderId="15" xfId="1" applyNumberFormat="1" applyFont="1" applyBorder="1"/>
    <xf numFmtId="167" fontId="0" fillId="0" borderId="17" xfId="1" applyNumberFormat="1" applyFont="1" applyBorder="1"/>
    <xf numFmtId="0" fontId="0" fillId="0" borderId="0" xfId="0" applyAlignment="1">
      <alignment wrapText="1"/>
    </xf>
    <xf numFmtId="167" fontId="2" fillId="6" borderId="0" xfId="1" applyNumberFormat="1" applyFont="1" applyFill="1"/>
    <xf numFmtId="167" fontId="0" fillId="0" borderId="0" xfId="1" applyNumberFormat="1" applyFont="1" applyBorder="1"/>
    <xf numFmtId="167" fontId="0" fillId="0" borderId="0" xfId="0" applyNumberFormat="1" applyBorder="1"/>
    <xf numFmtId="0" fontId="9" fillId="0" borderId="0" xfId="0" applyFont="1"/>
    <xf numFmtId="9" fontId="1" fillId="0" borderId="0" xfId="3" applyFont="1"/>
    <xf numFmtId="0" fontId="0" fillId="0" borderId="0" xfId="0" applyAlignment="1">
      <alignment horizontal="right"/>
    </xf>
    <xf numFmtId="0" fontId="0" fillId="10" borderId="0" xfId="0" applyFill="1"/>
    <xf numFmtId="9" fontId="0" fillId="10" borderId="0" xfId="0" applyNumberFormat="1" applyFill="1"/>
    <xf numFmtId="0" fontId="2" fillId="0" borderId="0" xfId="0" applyFont="1" applyAlignment="1">
      <alignment horizontal="right"/>
    </xf>
    <xf numFmtId="0" fontId="2" fillId="0" borderId="2" xfId="0" applyFont="1" applyBorder="1" applyAlignment="1">
      <alignment horizontal="right" wrapText="1"/>
    </xf>
    <xf numFmtId="0" fontId="2" fillId="0" borderId="5" xfId="0" applyFont="1" applyBorder="1"/>
    <xf numFmtId="0" fontId="0" fillId="0" borderId="1" xfId="0" applyBorder="1"/>
    <xf numFmtId="0" fontId="0" fillId="0" borderId="7" xfId="0" applyBorder="1"/>
    <xf numFmtId="0" fontId="2" fillId="0" borderId="10" xfId="0" applyFont="1" applyBorder="1" applyAlignment="1">
      <alignment horizontal="right" wrapText="1"/>
    </xf>
    <xf numFmtId="0" fontId="2" fillId="0" borderId="9" xfId="0" applyFont="1" applyBorder="1" applyAlignment="1">
      <alignment horizontal="right" wrapText="1"/>
    </xf>
    <xf numFmtId="165" fontId="0" fillId="0" borderId="0" xfId="2" applyNumberFormat="1" applyFont="1" applyBorder="1"/>
    <xf numFmtId="167" fontId="0" fillId="0" borderId="2" xfId="1" applyNumberFormat="1" applyFont="1" applyBorder="1"/>
    <xf numFmtId="165" fontId="0" fillId="0" borderId="2" xfId="2" applyNumberFormat="1" applyFont="1" applyBorder="1"/>
    <xf numFmtId="165" fontId="0" fillId="0" borderId="6" xfId="0" applyNumberFormat="1" applyBorder="1"/>
    <xf numFmtId="165" fontId="0" fillId="0" borderId="0" xfId="0" applyNumberFormat="1" applyBorder="1"/>
    <xf numFmtId="43" fontId="0" fillId="0" borderId="0" xfId="1" applyFont="1" applyBorder="1"/>
    <xf numFmtId="9" fontId="0" fillId="0" borderId="0" xfId="3" applyFont="1" applyBorder="1"/>
    <xf numFmtId="9" fontId="0" fillId="0" borderId="8" xfId="0" applyNumberFormat="1" applyBorder="1"/>
    <xf numFmtId="165" fontId="0" fillId="0" borderId="9" xfId="0" applyNumberFormat="1" applyBorder="1"/>
    <xf numFmtId="165" fontId="0" fillId="0" borderId="2" xfId="0" applyNumberFormat="1" applyBorder="1"/>
    <xf numFmtId="43" fontId="0" fillId="0" borderId="2" xfId="1" applyFont="1" applyBorder="1"/>
    <xf numFmtId="9" fontId="0" fillId="0" borderId="2" xfId="3" applyFont="1" applyBorder="1"/>
    <xf numFmtId="9" fontId="0" fillId="0" borderId="10" xfId="0" applyNumberFormat="1" applyBorder="1"/>
    <xf numFmtId="44" fontId="0" fillId="0" borderId="8" xfId="2" applyFont="1" applyBorder="1"/>
    <xf numFmtId="167" fontId="0" fillId="0" borderId="2" xfId="0" applyNumberFormat="1" applyBorder="1"/>
    <xf numFmtId="44" fontId="0" fillId="0" borderId="10" xfId="2" applyFont="1" applyBorder="1"/>
    <xf numFmtId="0" fontId="11" fillId="11" borderId="19" xfId="4" applyFont="1" applyFill="1" applyBorder="1" applyAlignment="1">
      <alignment wrapText="1"/>
    </xf>
    <xf numFmtId="0" fontId="11" fillId="11" borderId="19" xfId="4" applyFont="1" applyFill="1" applyBorder="1" applyAlignment="1">
      <alignment horizontal="right" wrapText="1"/>
    </xf>
    <xf numFmtId="0" fontId="10" fillId="0" borderId="0" xfId="4" applyAlignment="1">
      <alignment wrapText="1"/>
    </xf>
    <xf numFmtId="0" fontId="10" fillId="0" borderId="0" xfId="4" applyAlignment="1">
      <alignment horizontal="right" wrapText="1"/>
    </xf>
    <xf numFmtId="0" fontId="11" fillId="0" borderId="19" xfId="4" applyFont="1" applyBorder="1" applyAlignment="1">
      <alignment horizontal="left"/>
    </xf>
    <xf numFmtId="165" fontId="11" fillId="0" borderId="19" xfId="5" applyNumberFormat="1" applyFont="1" applyBorder="1"/>
    <xf numFmtId="167" fontId="11" fillId="0" borderId="19" xfId="6" applyNumberFormat="1" applyFont="1" applyBorder="1"/>
    <xf numFmtId="9" fontId="0" fillId="0" borderId="0" xfId="7" applyFont="1"/>
    <xf numFmtId="165" fontId="0" fillId="0" borderId="0" xfId="5" applyNumberFormat="1" applyFont="1"/>
    <xf numFmtId="44" fontId="0" fillId="0" borderId="0" xfId="5" applyFont="1"/>
    <xf numFmtId="167" fontId="0" fillId="0" borderId="0" xfId="6" applyNumberFormat="1" applyFont="1"/>
    <xf numFmtId="43" fontId="10" fillId="0" borderId="0" xfId="4" applyNumberFormat="1"/>
    <xf numFmtId="0" fontId="10" fillId="0" borderId="0" xfId="4"/>
    <xf numFmtId="0" fontId="12" fillId="0" borderId="0" xfId="4" applyFont="1" applyAlignment="1">
      <alignment horizontal="left" indent="1"/>
    </xf>
    <xf numFmtId="165" fontId="12" fillId="0" borderId="0" xfId="5" applyNumberFormat="1" applyFont="1"/>
    <xf numFmtId="167" fontId="12" fillId="0" borderId="0" xfId="6" applyNumberFormat="1" applyFont="1"/>
    <xf numFmtId="0" fontId="11" fillId="11" borderId="20" xfId="4" applyFont="1" applyFill="1" applyBorder="1" applyAlignment="1">
      <alignment horizontal="left"/>
    </xf>
    <xf numFmtId="165" fontId="11" fillId="11" borderId="20" xfId="5" applyNumberFormat="1" applyFont="1" applyFill="1" applyBorder="1"/>
    <xf numFmtId="167" fontId="11" fillId="11" borderId="20" xfId="6" applyNumberFormat="1" applyFont="1" applyFill="1" applyBorder="1"/>
    <xf numFmtId="8" fontId="10" fillId="0" borderId="0" xfId="4" applyNumberFormat="1"/>
    <xf numFmtId="0" fontId="13" fillId="0" borderId="0" xfId="4" applyFont="1"/>
    <xf numFmtId="8" fontId="14" fillId="0" borderId="0" xfId="4" applyNumberFormat="1" applyFont="1"/>
    <xf numFmtId="169" fontId="10" fillId="0" borderId="0" xfId="4" applyNumberFormat="1"/>
    <xf numFmtId="0" fontId="8" fillId="0" borderId="0" xfId="4" applyFont="1"/>
    <xf numFmtId="44" fontId="0" fillId="6" borderId="0" xfId="5" applyFont="1" applyFill="1"/>
    <xf numFmtId="9" fontId="10" fillId="6" borderId="0" xfId="4" applyNumberFormat="1" applyFill="1"/>
    <xf numFmtId="0" fontId="8" fillId="7" borderId="14" xfId="4" applyFont="1" applyFill="1" applyBorder="1"/>
    <xf numFmtId="0" fontId="10" fillId="0" borderId="0" xfId="4" applyAlignment="1">
      <alignment horizontal="left"/>
    </xf>
    <xf numFmtId="0" fontId="10" fillId="0" borderId="0" xfId="4" applyAlignment="1">
      <alignment horizontal="left" indent="1"/>
    </xf>
    <xf numFmtId="0" fontId="10" fillId="8" borderId="0" xfId="4" applyFill="1" applyAlignment="1">
      <alignment horizontal="left" indent="1"/>
    </xf>
    <xf numFmtId="0" fontId="10" fillId="8" borderId="0" xfId="4" applyFill="1"/>
    <xf numFmtId="167" fontId="0" fillId="8" borderId="0" xfId="6" applyNumberFormat="1" applyFont="1" applyFill="1"/>
    <xf numFmtId="165" fontId="0" fillId="8" borderId="0" xfId="5" applyNumberFormat="1" applyFont="1" applyFill="1"/>
    <xf numFmtId="0" fontId="6" fillId="0" borderId="0" xfId="4" applyFont="1" applyAlignment="1">
      <alignment horizontal="center"/>
    </xf>
    <xf numFmtId="3" fontId="6" fillId="0" borderId="0" xfId="4" applyNumberFormat="1" applyFont="1" applyAlignment="1">
      <alignment horizontal="center"/>
    </xf>
    <xf numFmtId="0" fontId="6" fillId="0" borderId="0" xfId="4" applyFont="1"/>
    <xf numFmtId="167" fontId="6" fillId="0" borderId="0" xfId="6" applyNumberFormat="1" applyFont="1" applyFill="1"/>
    <xf numFmtId="0" fontId="16" fillId="0" borderId="0" xfId="4" applyFont="1"/>
    <xf numFmtId="167" fontId="6" fillId="0" borderId="0" xfId="4" applyNumberFormat="1" applyFont="1"/>
    <xf numFmtId="3" fontId="15" fillId="9" borderId="15" xfId="8" applyNumberFormat="1" applyFont="1" applyBorder="1" applyAlignment="1">
      <alignment horizontal="center"/>
    </xf>
    <xf numFmtId="0" fontId="15" fillId="13" borderId="21" xfId="4" applyFont="1" applyFill="1" applyBorder="1" applyAlignment="1">
      <alignment horizontal="center" vertical="top" wrapText="1"/>
    </xf>
    <xf numFmtId="0" fontId="15" fillId="13" borderId="22" xfId="4" applyFont="1" applyFill="1" applyBorder="1" applyAlignment="1">
      <alignment horizontal="center" vertical="top" wrapText="1"/>
    </xf>
    <xf numFmtId="3" fontId="15" fillId="13" borderId="22" xfId="9" applyNumberFormat="1" applyFont="1" applyFill="1" applyBorder="1" applyAlignment="1">
      <alignment horizontal="center" vertical="top" wrapText="1"/>
    </xf>
    <xf numFmtId="167" fontId="15" fillId="13" borderId="22" xfId="6" applyNumberFormat="1" applyFont="1" applyFill="1" applyBorder="1" applyAlignment="1">
      <alignment horizontal="center" vertical="top" wrapText="1"/>
    </xf>
    <xf numFmtId="0" fontId="15" fillId="13" borderId="23" xfId="4" applyFont="1" applyFill="1" applyBorder="1" applyAlignment="1">
      <alignment horizontal="center" vertical="top" wrapText="1"/>
    </xf>
    <xf numFmtId="0" fontId="15" fillId="13" borderId="24" xfId="4" applyFont="1" applyFill="1" applyBorder="1" applyAlignment="1">
      <alignment horizontal="center" vertical="top" wrapText="1"/>
    </xf>
    <xf numFmtId="0" fontId="15" fillId="14" borderId="25" xfId="4" applyFont="1" applyFill="1" applyBorder="1" applyAlignment="1">
      <alignment wrapText="1"/>
    </xf>
    <xf numFmtId="0" fontId="20" fillId="14" borderId="25" xfId="4" applyFont="1" applyFill="1" applyBorder="1"/>
    <xf numFmtId="0" fontId="6" fillId="0" borderId="26" xfId="4" applyFont="1" applyBorder="1"/>
    <xf numFmtId="0" fontId="6" fillId="0" borderId="2" xfId="4" applyFont="1" applyBorder="1"/>
    <xf numFmtId="3" fontId="6" fillId="0" borderId="2" xfId="4" applyNumberFormat="1" applyFont="1" applyBorder="1" applyAlignment="1" applyProtection="1">
      <alignment horizontal="right" vertical="center"/>
      <protection locked="0"/>
    </xf>
    <xf numFmtId="168" fontId="6" fillId="0" borderId="2" xfId="7" applyNumberFormat="1" applyFont="1" applyFill="1" applyBorder="1" applyAlignment="1">
      <alignment horizontal="right" vertical="center"/>
    </xf>
    <xf numFmtId="9" fontId="6" fillId="0" borderId="2" xfId="4" applyNumberFormat="1" applyFont="1" applyBorder="1" applyAlignment="1">
      <alignment horizontal="right" vertical="center"/>
    </xf>
    <xf numFmtId="166" fontId="6" fillId="0" borderId="2" xfId="6" applyNumberFormat="1" applyFont="1" applyFill="1" applyBorder="1" applyAlignment="1">
      <alignment horizontal="right" vertical="center"/>
    </xf>
    <xf numFmtId="167" fontId="6" fillId="0" borderId="2" xfId="6" applyNumberFormat="1" applyFont="1" applyFill="1" applyBorder="1" applyAlignment="1">
      <alignment horizontal="right" vertical="center"/>
    </xf>
    <xf numFmtId="167" fontId="6" fillId="0" borderId="27" xfId="6" applyNumberFormat="1" applyFont="1" applyFill="1" applyBorder="1" applyAlignment="1">
      <alignment horizontal="right" vertical="center"/>
    </xf>
    <xf numFmtId="9" fontId="6" fillId="0" borderId="0" xfId="7" applyFont="1"/>
    <xf numFmtId="0" fontId="6" fillId="0" borderId="28" xfId="4" applyFont="1" applyBorder="1" applyAlignment="1">
      <alignment horizontal="left"/>
    </xf>
    <xf numFmtId="0" fontId="6" fillId="0" borderId="4" xfId="4" applyFont="1" applyBorder="1"/>
    <xf numFmtId="3" fontId="6" fillId="0" borderId="4" xfId="4" applyNumberFormat="1" applyFont="1" applyBorder="1" applyAlignment="1" applyProtection="1">
      <alignment horizontal="right" vertical="center"/>
      <protection locked="0"/>
    </xf>
    <xf numFmtId="168" fontId="6" fillId="0" borderId="4" xfId="7" applyNumberFormat="1" applyFont="1" applyFill="1" applyBorder="1" applyAlignment="1">
      <alignment horizontal="right" vertical="center"/>
    </xf>
    <xf numFmtId="9" fontId="6" fillId="0" borderId="4" xfId="4" applyNumberFormat="1" applyFont="1" applyBorder="1" applyAlignment="1">
      <alignment horizontal="right" vertical="center"/>
    </xf>
    <xf numFmtId="166" fontId="6" fillId="0" borderId="4" xfId="6" applyNumberFormat="1" applyFont="1" applyFill="1" applyBorder="1" applyAlignment="1">
      <alignment horizontal="right" vertical="center"/>
    </xf>
    <xf numFmtId="167" fontId="6" fillId="0" borderId="4" xfId="6" applyNumberFormat="1" applyFont="1" applyFill="1" applyBorder="1" applyAlignment="1">
      <alignment horizontal="right" vertical="center"/>
    </xf>
    <xf numFmtId="167" fontId="6" fillId="0" borderId="29" xfId="6" applyNumberFormat="1" applyFont="1" applyFill="1" applyBorder="1" applyAlignment="1">
      <alignment horizontal="right" vertical="center"/>
    </xf>
    <xf numFmtId="0" fontId="6" fillId="0" borderId="28" xfId="4" applyFont="1" applyBorder="1"/>
    <xf numFmtId="0" fontId="6" fillId="0" borderId="30" xfId="4" applyFont="1" applyBorder="1" applyAlignment="1">
      <alignment horizontal="left"/>
    </xf>
    <xf numFmtId="0" fontId="6" fillId="0" borderId="31" xfId="4" applyFont="1" applyBorder="1"/>
    <xf numFmtId="3" fontId="6" fillId="0" borderId="31" xfId="4" applyNumberFormat="1" applyFont="1" applyBorder="1" applyAlignment="1" applyProtection="1">
      <alignment horizontal="right" vertical="center"/>
      <protection locked="0"/>
    </xf>
    <xf numFmtId="168" fontId="6" fillId="0" borderId="31" xfId="7" applyNumberFormat="1" applyFont="1" applyFill="1" applyBorder="1" applyAlignment="1">
      <alignment horizontal="right" vertical="center"/>
    </xf>
    <xf numFmtId="9" fontId="6" fillId="0" borderId="31" xfId="4" applyNumberFormat="1" applyFont="1" applyBorder="1" applyAlignment="1">
      <alignment horizontal="right" vertical="center"/>
    </xf>
    <xf numFmtId="166" fontId="6" fillId="0" borderId="31" xfId="6" applyNumberFormat="1" applyFont="1" applyFill="1" applyBorder="1" applyAlignment="1">
      <alignment horizontal="right" vertical="center"/>
    </xf>
    <xf numFmtId="167" fontId="6" fillId="0" borderId="31" xfId="6" applyNumberFormat="1" applyFont="1" applyFill="1" applyBorder="1" applyAlignment="1">
      <alignment horizontal="right" vertical="center"/>
    </xf>
    <xf numFmtId="167" fontId="6" fillId="0" borderId="32" xfId="6" applyNumberFormat="1" applyFont="1" applyFill="1" applyBorder="1" applyAlignment="1">
      <alignment horizontal="right" vertical="center"/>
    </xf>
    <xf numFmtId="0" fontId="21" fillId="0" borderId="0" xfId="4" applyFont="1"/>
    <xf numFmtId="0" fontId="21" fillId="0" borderId="0" xfId="4" quotePrefix="1" applyFont="1" applyAlignment="1">
      <alignment horizontal="right"/>
    </xf>
    <xf numFmtId="0" fontId="21" fillId="0" borderId="0" xfId="4" applyFont="1" applyAlignment="1">
      <alignment horizontal="left"/>
    </xf>
    <xf numFmtId="0" fontId="21" fillId="0" borderId="0" xfId="4" applyFont="1" applyAlignment="1">
      <alignment horizontal="right"/>
    </xf>
    <xf numFmtId="0" fontId="14" fillId="0" borderId="0" xfId="4" applyFont="1"/>
    <xf numFmtId="9" fontId="0" fillId="0" borderId="8" xfId="0" applyNumberFormat="1" applyFill="1" applyBorder="1"/>
    <xf numFmtId="9" fontId="0" fillId="0" borderId="10" xfId="0" applyNumberFormat="1" applyFill="1" applyBorder="1"/>
    <xf numFmtId="0" fontId="0" fillId="0" borderId="0" xfId="0" applyFill="1"/>
    <xf numFmtId="0" fontId="0" fillId="0" borderId="7" xfId="0" applyFill="1" applyBorder="1"/>
    <xf numFmtId="0" fontId="0" fillId="0" borderId="5" xfId="0" applyBorder="1"/>
    <xf numFmtId="0" fontId="2" fillId="0" borderId="9" xfId="0" applyFont="1" applyBorder="1" applyAlignment="1">
      <alignment horizontal="left" wrapText="1"/>
    </xf>
    <xf numFmtId="0" fontId="2" fillId="0" borderId="10" xfId="0" applyFont="1" applyFill="1" applyBorder="1" applyAlignment="1">
      <alignment horizontal="right" wrapText="1"/>
    </xf>
    <xf numFmtId="9" fontId="0" fillId="10" borderId="8" xfId="0" applyNumberFormat="1" applyFill="1" applyBorder="1"/>
    <xf numFmtId="9" fontId="0" fillId="10" borderId="10" xfId="0" applyNumberFormat="1" applyFill="1" applyBorder="1"/>
    <xf numFmtId="0" fontId="2" fillId="0" borderId="17" xfId="0" applyFont="1" applyBorder="1" applyAlignment="1">
      <alignment horizontal="right" wrapText="1"/>
    </xf>
    <xf numFmtId="9" fontId="0" fillId="10" borderId="16" xfId="0" applyNumberFormat="1" applyFill="1" applyBorder="1"/>
    <xf numFmtId="9" fontId="0" fillId="10" borderId="17" xfId="0" applyNumberFormat="1" applyFill="1" applyBorder="1"/>
    <xf numFmtId="0" fontId="22" fillId="0" borderId="0" xfId="4" applyFont="1"/>
    <xf numFmtId="8" fontId="22" fillId="0" borderId="0" xfId="4" applyNumberFormat="1" applyFont="1"/>
    <xf numFmtId="0" fontId="24" fillId="0" borderId="0" xfId="4" applyFont="1"/>
    <xf numFmtId="8" fontId="24" fillId="0" borderId="0" xfId="4" applyNumberFormat="1" applyFont="1"/>
    <xf numFmtId="0" fontId="25" fillId="0" borderId="0" xfId="4" applyFont="1"/>
    <xf numFmtId="170" fontId="10" fillId="0" borderId="0" xfId="4" applyNumberFormat="1"/>
    <xf numFmtId="165" fontId="0" fillId="0" borderId="8" xfId="2" applyNumberFormat="1" applyFont="1" applyBorder="1"/>
    <xf numFmtId="165" fontId="0" fillId="0" borderId="10" xfId="2" applyNumberFormat="1" applyFont="1" applyBorder="1"/>
    <xf numFmtId="0" fontId="2" fillId="0" borderId="12" xfId="0" applyFont="1" applyBorder="1"/>
    <xf numFmtId="0" fontId="2" fillId="0" borderId="4" xfId="0" applyFont="1" applyBorder="1" applyAlignment="1">
      <alignment horizontal="right" wrapText="1"/>
    </xf>
    <xf numFmtId="0" fontId="2" fillId="0" borderId="13" xfId="0" applyFont="1" applyBorder="1" applyAlignment="1">
      <alignment horizontal="right"/>
    </xf>
    <xf numFmtId="0" fontId="2" fillId="0" borderId="12" xfId="0" applyFont="1" applyBorder="1" applyAlignment="1">
      <alignment horizontal="right" wrapText="1"/>
    </xf>
    <xf numFmtId="0" fontId="2" fillId="0" borderId="13" xfId="0" applyFont="1" applyBorder="1" applyAlignment="1">
      <alignment horizontal="right" wrapText="1"/>
    </xf>
    <xf numFmtId="0" fontId="7" fillId="0" borderId="0" xfId="4" applyFont="1"/>
    <xf numFmtId="10" fontId="10" fillId="0" borderId="0" xfId="4" applyNumberFormat="1"/>
    <xf numFmtId="0" fontId="10" fillId="0" borderId="0" xfId="4" applyFont="1"/>
    <xf numFmtId="0" fontId="8" fillId="0" borderId="0" xfId="4" applyFont="1" applyAlignment="1">
      <alignment wrapText="1"/>
    </xf>
    <xf numFmtId="0" fontId="8" fillId="0" borderId="0" xfId="4" applyFont="1" applyAlignment="1"/>
    <xf numFmtId="0" fontId="8" fillId="0" borderId="0" xfId="4" applyFont="1" applyAlignment="1">
      <alignment horizontal="right" wrapText="1"/>
    </xf>
    <xf numFmtId="0" fontId="26" fillId="3" borderId="28" xfId="4" applyFont="1" applyFill="1" applyBorder="1" applyAlignment="1">
      <alignment horizontal="left" vertical="center"/>
    </xf>
    <xf numFmtId="0" fontId="26" fillId="3" borderId="12" xfId="4" applyFont="1" applyFill="1" applyBorder="1" applyAlignment="1">
      <alignment horizontal="center" vertical="center"/>
    </xf>
    <xf numFmtId="0" fontId="26" fillId="3" borderId="11" xfId="4" applyFont="1" applyFill="1" applyBorder="1" applyAlignment="1">
      <alignment horizontal="center" vertical="center" wrapText="1"/>
    </xf>
    <xf numFmtId="0" fontId="21" fillId="0" borderId="33" xfId="4" applyFont="1" applyBorder="1"/>
    <xf numFmtId="0" fontId="21" fillId="0" borderId="6" xfId="4" applyFont="1" applyBorder="1"/>
    <xf numFmtId="3" fontId="21" fillId="0" borderId="16" xfId="4" applyNumberFormat="1" applyFont="1" applyBorder="1"/>
    <xf numFmtId="10" fontId="0" fillId="15" borderId="0" xfId="3" applyNumberFormat="1" applyFont="1" applyFill="1"/>
    <xf numFmtId="0" fontId="26" fillId="0" borderId="28" xfId="4" applyFont="1" applyBorder="1"/>
    <xf numFmtId="0" fontId="26" fillId="0" borderId="4" xfId="4" applyFont="1" applyBorder="1"/>
    <xf numFmtId="3" fontId="26" fillId="0" borderId="11" xfId="4" applyNumberFormat="1" applyFont="1" applyBorder="1"/>
    <xf numFmtId="0" fontId="21" fillId="0" borderId="34" xfId="4" applyFont="1" applyBorder="1"/>
    <xf numFmtId="0" fontId="21" fillId="0" borderId="5" xfId="4" applyFont="1" applyBorder="1"/>
    <xf numFmtId="3" fontId="21" fillId="0" borderId="15" xfId="4" applyNumberFormat="1" applyFont="1" applyBorder="1"/>
    <xf numFmtId="0" fontId="21" fillId="0" borderId="9" xfId="4" applyFont="1" applyBorder="1"/>
    <xf numFmtId="3" fontId="21" fillId="0" borderId="17" xfId="4" applyNumberFormat="1" applyFont="1" applyBorder="1"/>
    <xf numFmtId="0" fontId="26" fillId="0" borderId="35" xfId="4" applyFont="1" applyBorder="1"/>
    <xf numFmtId="0" fontId="26" fillId="0" borderId="3" xfId="4" applyFont="1" applyBorder="1"/>
    <xf numFmtId="3" fontId="26" fillId="0" borderId="13" xfId="4" applyNumberFormat="1" applyFont="1" applyBorder="1"/>
    <xf numFmtId="0" fontId="26" fillId="0" borderId="36" xfId="4" applyFont="1" applyBorder="1"/>
    <xf numFmtId="0" fontId="26" fillId="0" borderId="37" xfId="4" applyFont="1" applyBorder="1"/>
    <xf numFmtId="3" fontId="26" fillId="0" borderId="38" xfId="4" applyNumberFormat="1" applyFont="1" applyBorder="1"/>
    <xf numFmtId="0" fontId="3" fillId="0" borderId="0" xfId="4" applyFont="1" applyAlignment="1">
      <alignment vertical="top" wrapText="1"/>
    </xf>
    <xf numFmtId="0" fontId="8" fillId="4" borderId="0" xfId="4" applyFont="1" applyFill="1"/>
    <xf numFmtId="0" fontId="10" fillId="4" borderId="0" xfId="4" applyFill="1"/>
    <xf numFmtId="0" fontId="28" fillId="4" borderId="0" xfId="4" applyFont="1" applyFill="1"/>
    <xf numFmtId="0" fontId="8" fillId="5" borderId="4" xfId="4" applyFont="1" applyFill="1" applyBorder="1"/>
    <xf numFmtId="167" fontId="10" fillId="4" borderId="0" xfId="6" applyNumberFormat="1" applyFont="1" applyFill="1" applyBorder="1"/>
    <xf numFmtId="167" fontId="10" fillId="0" borderId="0" xfId="6" applyNumberFormat="1" applyFont="1" applyFill="1" applyBorder="1"/>
    <xf numFmtId="0" fontId="10" fillId="5" borderId="4" xfId="4" applyFill="1" applyBorder="1"/>
    <xf numFmtId="167" fontId="0" fillId="5" borderId="4" xfId="6" applyNumberFormat="1" applyFont="1" applyFill="1" applyBorder="1"/>
    <xf numFmtId="167" fontId="0" fillId="0" borderId="0" xfId="6" applyNumberFormat="1" applyFont="1" applyFill="1" applyBorder="1"/>
    <xf numFmtId="167" fontId="10" fillId="4" borderId="0" xfId="4" applyNumberFormat="1" applyFill="1"/>
    <xf numFmtId="167" fontId="10" fillId="0" borderId="0" xfId="4" applyNumberFormat="1"/>
    <xf numFmtId="1" fontId="8" fillId="5" borderId="4" xfId="4" applyNumberFormat="1" applyFont="1" applyFill="1" applyBorder="1"/>
    <xf numFmtId="1" fontId="8" fillId="0" borderId="0" xfId="4" applyNumberFormat="1" applyFont="1"/>
    <xf numFmtId="1" fontId="10" fillId="5" borderId="4" xfId="4" applyNumberFormat="1" applyFill="1" applyBorder="1"/>
    <xf numFmtId="0" fontId="29" fillId="0" borderId="0" xfId="4" applyFont="1"/>
    <xf numFmtId="167" fontId="29" fillId="0" borderId="0" xfId="4" applyNumberFormat="1" applyFont="1"/>
    <xf numFmtId="0" fontId="26" fillId="2" borderId="39" xfId="4" applyFont="1" applyFill="1" applyBorder="1"/>
    <xf numFmtId="0" fontId="26" fillId="2" borderId="40" xfId="4" applyFont="1" applyFill="1" applyBorder="1"/>
    <xf numFmtId="0" fontId="26" fillId="3" borderId="44" xfId="4" applyFont="1" applyFill="1" applyBorder="1" applyAlignment="1">
      <alignment horizontal="center" vertical="center" wrapText="1"/>
    </xf>
    <xf numFmtId="0" fontId="26" fillId="3" borderId="45" xfId="4" applyFont="1" applyFill="1" applyBorder="1" applyAlignment="1">
      <alignment horizontal="center" vertical="center" wrapText="1"/>
    </xf>
    <xf numFmtId="0" fontId="10" fillId="0" borderId="0" xfId="4" applyAlignment="1">
      <alignment horizontal="center" vertical="center"/>
    </xf>
    <xf numFmtId="3" fontId="21" fillId="0" borderId="46" xfId="4" applyNumberFormat="1" applyFont="1" applyBorder="1"/>
    <xf numFmtId="3" fontId="21" fillId="0" borderId="47" xfId="4" applyNumberFormat="1" applyFont="1" applyBorder="1"/>
    <xf numFmtId="3" fontId="26" fillId="0" borderId="44" xfId="4" applyNumberFormat="1" applyFont="1" applyBorder="1"/>
    <xf numFmtId="3" fontId="26" fillId="0" borderId="45" xfId="4" applyNumberFormat="1" applyFont="1" applyBorder="1"/>
    <xf numFmtId="3" fontId="21" fillId="0" borderId="48" xfId="4" applyNumberFormat="1" applyFont="1" applyBorder="1"/>
    <xf numFmtId="3" fontId="21" fillId="0" borderId="49" xfId="4" applyNumberFormat="1" applyFont="1" applyBorder="1"/>
    <xf numFmtId="3" fontId="21" fillId="0" borderId="50" xfId="4" applyNumberFormat="1" applyFont="1" applyBorder="1"/>
    <xf numFmtId="3" fontId="21" fillId="0" borderId="51" xfId="4" applyNumberFormat="1" applyFont="1" applyBorder="1"/>
    <xf numFmtId="3" fontId="26" fillId="0" borderId="29" xfId="4" applyNumberFormat="1" applyFont="1" applyBorder="1"/>
    <xf numFmtId="3" fontId="26" fillId="0" borderId="52" xfId="4" applyNumberFormat="1" applyFont="1" applyBorder="1"/>
    <xf numFmtId="3" fontId="26" fillId="0" borderId="53" xfId="4" applyNumberFormat="1" applyFont="1" applyBorder="1"/>
    <xf numFmtId="0" fontId="2" fillId="3" borderId="11" xfId="0" applyFont="1" applyFill="1" applyBorder="1"/>
    <xf numFmtId="0" fontId="2" fillId="3" borderId="12" xfId="0" applyFont="1" applyFill="1" applyBorder="1"/>
    <xf numFmtId="0" fontId="2" fillId="3" borderId="13" xfId="0" applyFont="1" applyFill="1" applyBorder="1"/>
    <xf numFmtId="0" fontId="31" fillId="3" borderId="0" xfId="11" applyFont="1" applyFill="1" applyAlignment="1">
      <alignment horizontal="left" vertical="top" wrapText="1"/>
    </xf>
    <xf numFmtId="0" fontId="32" fillId="0" borderId="0" xfId="11" applyFont="1"/>
    <xf numFmtId="164" fontId="0" fillId="0" borderId="6" xfId="0" applyNumberFormat="1" applyBorder="1"/>
    <xf numFmtId="164" fontId="0" fillId="0" borderId="0" xfId="0" applyNumberFormat="1"/>
    <xf numFmtId="167" fontId="0" fillId="0" borderId="6" xfId="1" applyNumberFormat="1" applyFont="1" applyBorder="1"/>
    <xf numFmtId="167" fontId="0" fillId="0" borderId="8" xfId="1" applyNumberFormat="1" applyFont="1" applyBorder="1"/>
    <xf numFmtId="171" fontId="0" fillId="0" borderId="0" xfId="1" applyNumberFormat="1" applyFont="1" applyBorder="1"/>
    <xf numFmtId="171" fontId="0" fillId="0" borderId="8" xfId="1" applyNumberFormat="1" applyFont="1" applyBorder="1"/>
    <xf numFmtId="0" fontId="33" fillId="0" borderId="0" xfId="1" applyNumberFormat="1" applyFont="1" applyFill="1"/>
    <xf numFmtId="0" fontId="32" fillId="6" borderId="0" xfId="11" applyFont="1" applyFill="1"/>
    <xf numFmtId="0" fontId="33" fillId="6" borderId="0" xfId="1" applyNumberFormat="1" applyFont="1" applyFill="1"/>
    <xf numFmtId="164" fontId="0" fillId="6" borderId="6" xfId="0" applyNumberFormat="1" applyFill="1" applyBorder="1"/>
    <xf numFmtId="164" fontId="0" fillId="6" borderId="0" xfId="0" applyNumberFormat="1" applyFill="1"/>
    <xf numFmtId="167" fontId="0" fillId="6" borderId="6" xfId="1" applyNumberFormat="1" applyFont="1" applyFill="1" applyBorder="1"/>
    <xf numFmtId="167" fontId="0" fillId="6" borderId="0" xfId="1" applyNumberFormat="1" applyFont="1" applyFill="1" applyBorder="1"/>
    <xf numFmtId="167" fontId="0" fillId="6" borderId="8" xfId="1" applyNumberFormat="1" applyFont="1" applyFill="1" applyBorder="1"/>
    <xf numFmtId="171" fontId="0" fillId="6" borderId="0" xfId="1" applyNumberFormat="1" applyFont="1" applyFill="1" applyBorder="1"/>
    <xf numFmtId="171" fontId="0" fillId="6" borderId="8" xfId="1" applyNumberFormat="1" applyFont="1" applyFill="1" applyBorder="1"/>
    <xf numFmtId="171" fontId="0" fillId="6" borderId="0" xfId="0" applyNumberFormat="1" applyFill="1"/>
    <xf numFmtId="164" fontId="0" fillId="0" borderId="9" xfId="0" applyNumberFormat="1" applyBorder="1"/>
    <xf numFmtId="164" fontId="0" fillId="0" borderId="2" xfId="0" applyNumberFormat="1" applyBorder="1"/>
    <xf numFmtId="43" fontId="0" fillId="0" borderId="9" xfId="1" applyFont="1" applyBorder="1"/>
    <xf numFmtId="43" fontId="0" fillId="0" borderId="10" xfId="1" applyFont="1" applyBorder="1"/>
    <xf numFmtId="171" fontId="0" fillId="0" borderId="2" xfId="1" applyNumberFormat="1" applyFont="1" applyBorder="1"/>
    <xf numFmtId="171" fontId="0" fillId="0" borderId="10" xfId="1" applyNumberFormat="1" applyFont="1" applyBorder="1"/>
    <xf numFmtId="0" fontId="9" fillId="3" borderId="0" xfId="0" applyFont="1" applyFill="1"/>
    <xf numFmtId="0" fontId="34" fillId="3" borderId="0" xfId="0" applyFont="1" applyFill="1"/>
    <xf numFmtId="0" fontId="30" fillId="0" borderId="0" xfId="10"/>
    <xf numFmtId="0" fontId="31" fillId="16" borderId="0" xfId="1" applyNumberFormat="1" applyFont="1" applyFill="1" applyAlignment="1">
      <alignment horizontal="left" vertical="top" wrapText="1"/>
    </xf>
    <xf numFmtId="0" fontId="15" fillId="3" borderId="0" xfId="0" applyFont="1" applyFill="1" applyAlignment="1">
      <alignment horizontal="left" vertical="top" wrapText="1"/>
    </xf>
    <xf numFmtId="0" fontId="31" fillId="17" borderId="0" xfId="1" applyNumberFormat="1" applyFont="1" applyFill="1" applyAlignment="1">
      <alignment horizontal="left" vertical="top" wrapText="1"/>
    </xf>
    <xf numFmtId="0" fontId="31" fillId="18" borderId="0" xfId="1" applyNumberFormat="1" applyFont="1" applyFill="1" applyAlignment="1">
      <alignment horizontal="left" vertical="top" wrapText="1"/>
    </xf>
    <xf numFmtId="0" fontId="31" fillId="19" borderId="0" xfId="1" applyNumberFormat="1" applyFont="1" applyFill="1" applyAlignment="1">
      <alignment horizontal="left" vertical="top" wrapText="1"/>
    </xf>
    <xf numFmtId="0" fontId="15" fillId="13" borderId="0" xfId="1" applyNumberFormat="1" applyFont="1" applyFill="1" applyAlignment="1">
      <alignment horizontal="left" vertical="top" wrapText="1"/>
    </xf>
    <xf numFmtId="0" fontId="15" fillId="20" borderId="0" xfId="0" applyFont="1" applyFill="1" applyAlignment="1">
      <alignment horizontal="left" vertical="top" wrapText="1"/>
    </xf>
    <xf numFmtId="0" fontId="31" fillId="0" borderId="0" xfId="11" applyFont="1" applyAlignment="1">
      <alignment horizontal="left" vertical="top" wrapText="1"/>
    </xf>
    <xf numFmtId="0" fontId="32" fillId="21" borderId="0" xfId="11" applyFont="1" applyFill="1"/>
    <xf numFmtId="167" fontId="35" fillId="21" borderId="0" xfId="1" applyNumberFormat="1" applyFont="1" applyFill="1" applyBorder="1"/>
    <xf numFmtId="0" fontId="35" fillId="0" borderId="0" xfId="11" applyFont="1"/>
    <xf numFmtId="0" fontId="36" fillId="0" borderId="0" xfId="0" applyFont="1" applyAlignment="1">
      <alignment horizontal="left" vertical="top" wrapText="1"/>
    </xf>
    <xf numFmtId="0" fontId="37" fillId="16" borderId="0" xfId="1" applyNumberFormat="1" applyFont="1" applyFill="1" applyAlignment="1">
      <alignment horizontal="left" vertical="top" wrapText="1"/>
    </xf>
    <xf numFmtId="0" fontId="37" fillId="3" borderId="0" xfId="1" applyNumberFormat="1" applyFont="1" applyFill="1" applyAlignment="1">
      <alignment horizontal="left" vertical="top" wrapText="1"/>
    </xf>
    <xf numFmtId="0" fontId="37" fillId="17" borderId="0" xfId="1" applyNumberFormat="1" applyFont="1" applyFill="1" applyAlignment="1">
      <alignment horizontal="left" vertical="top" wrapText="1"/>
    </xf>
    <xf numFmtId="0" fontId="37" fillId="18" borderId="0" xfId="1" applyNumberFormat="1" applyFont="1" applyFill="1" applyAlignment="1">
      <alignment horizontal="left" vertical="top" wrapText="1"/>
    </xf>
    <xf numFmtId="0" fontId="37" fillId="19" borderId="0" xfId="1" applyNumberFormat="1" applyFont="1" applyFill="1" applyAlignment="1">
      <alignment horizontal="left" vertical="top" wrapText="1"/>
    </xf>
    <xf numFmtId="0" fontId="37" fillId="13" borderId="0" xfId="1" applyNumberFormat="1" applyFont="1" applyFill="1" applyAlignment="1">
      <alignment horizontal="left" vertical="top" wrapText="1"/>
    </xf>
    <xf numFmtId="0" fontId="37" fillId="20" borderId="0" xfId="1" applyNumberFormat="1" applyFont="1" applyFill="1" applyAlignment="1">
      <alignment horizontal="left" vertical="top" wrapText="1"/>
    </xf>
    <xf numFmtId="0" fontId="38" fillId="0" borderId="0" xfId="0" applyFont="1" applyAlignment="1">
      <alignment horizontal="left" vertical="top" wrapText="1"/>
    </xf>
    <xf numFmtId="0" fontId="33" fillId="21" borderId="0" xfId="0" applyFont="1" applyFill="1"/>
    <xf numFmtId="0" fontId="33" fillId="21" borderId="0" xfId="1" applyNumberFormat="1" applyFont="1" applyFill="1"/>
    <xf numFmtId="167" fontId="33" fillId="21" borderId="0" xfId="1" applyNumberFormat="1" applyFont="1" applyFill="1"/>
    <xf numFmtId="0" fontId="33" fillId="0" borderId="0" xfId="0" applyFont="1"/>
    <xf numFmtId="0" fontId="4" fillId="0" borderId="0" xfId="4" applyFont="1"/>
    <xf numFmtId="9" fontId="0" fillId="0" borderId="0" xfId="3" applyFont="1" applyFill="1"/>
    <xf numFmtId="44" fontId="0" fillId="10" borderId="0" xfId="2" applyFont="1" applyFill="1" applyAlignment="1">
      <alignment horizontal="right"/>
    </xf>
    <xf numFmtId="9" fontId="0" fillId="10" borderId="0" xfId="0" applyNumberFormat="1" applyFill="1" applyAlignment="1">
      <alignment horizontal="right"/>
    </xf>
    <xf numFmtId="165" fontId="0" fillId="0" borderId="0" xfId="2" applyNumberFormat="1" applyFont="1" applyFill="1" applyAlignment="1">
      <alignment horizontal="right"/>
    </xf>
    <xf numFmtId="167" fontId="0" fillId="0" borderId="0" xfId="1" applyNumberFormat="1" applyFont="1" applyFill="1" applyAlignment="1">
      <alignment horizontal="right"/>
    </xf>
    <xf numFmtId="165" fontId="0" fillId="0" borderId="0" xfId="0" applyNumberFormat="1" applyFill="1" applyAlignment="1">
      <alignment horizontal="right"/>
    </xf>
    <xf numFmtId="0" fontId="0" fillId="0" borderId="0" xfId="0" applyFill="1" applyAlignment="1">
      <alignment horizontal="right"/>
    </xf>
    <xf numFmtId="167" fontId="0" fillId="0" borderId="8" xfId="0" applyNumberFormat="1" applyBorder="1"/>
    <xf numFmtId="167" fontId="0" fillId="0" borderId="10" xfId="0" applyNumberFormat="1" applyBorder="1"/>
    <xf numFmtId="0" fontId="3" fillId="0" borderId="0" xfId="4" applyFont="1" applyAlignment="1">
      <alignment horizontal="left" vertical="top" wrapText="1"/>
    </xf>
    <xf numFmtId="0" fontId="26" fillId="2" borderId="41" xfId="4" applyFont="1" applyFill="1" applyBorder="1" applyAlignment="1">
      <alignment horizontal="center"/>
    </xf>
    <xf numFmtId="0" fontId="26" fillId="2" borderId="42" xfId="4" applyFont="1" applyFill="1" applyBorder="1" applyAlignment="1">
      <alignment horizontal="center"/>
    </xf>
    <xf numFmtId="0" fontId="26" fillId="2" borderId="43" xfId="4" applyFont="1" applyFill="1" applyBorder="1" applyAlignment="1">
      <alignment horizontal="center"/>
    </xf>
    <xf numFmtId="0" fontId="26" fillId="0" borderId="28" xfId="4" applyFont="1" applyBorder="1"/>
    <xf numFmtId="0" fontId="26" fillId="0" borderId="4" xfId="4" applyFont="1" applyBorder="1"/>
    <xf numFmtId="0" fontId="26" fillId="0" borderId="35" xfId="4" applyFont="1" applyBorder="1"/>
    <xf numFmtId="0" fontId="26" fillId="0" borderId="3" xfId="4" applyFont="1" applyBorder="1"/>
    <xf numFmtId="0" fontId="23" fillId="0" borderId="0" xfId="4" applyFont="1"/>
    <xf numFmtId="8" fontId="14" fillId="0" borderId="0" xfId="4" applyNumberFormat="1" applyFont="1"/>
    <xf numFmtId="0" fontId="15" fillId="12" borderId="12" xfId="4" applyFont="1" applyFill="1" applyBorder="1" applyAlignment="1">
      <alignment horizontal="center"/>
    </xf>
    <xf numFmtId="0" fontId="15" fillId="12" borderId="4" xfId="4" applyFont="1" applyFill="1" applyBorder="1" applyAlignment="1">
      <alignment horizontal="center"/>
    </xf>
    <xf numFmtId="0" fontId="15" fillId="12" borderId="13" xfId="4" applyFont="1" applyFill="1" applyBorder="1" applyAlignment="1">
      <alignment horizontal="center"/>
    </xf>
  </cellXfs>
  <cellStyles count="12">
    <cellStyle name="Calculation 2" xfId="8" xr:uid="{156685E3-3F87-374C-87D1-A6951D6C9F79}"/>
    <cellStyle name="Comma" xfId="1" builtinId="3"/>
    <cellStyle name="Comma 2" xfId="6" xr:uid="{B2F8CFD9-ED3A-C841-BB73-4CC7ABDF1497}"/>
    <cellStyle name="Currency" xfId="2" builtinId="4"/>
    <cellStyle name="Currency 2" xfId="5" xr:uid="{96506E4C-55B4-3646-8529-F05768342BEC}"/>
    <cellStyle name="Hyperlink" xfId="10" builtinId="8"/>
    <cellStyle name="Normal" xfId="0" builtinId="0"/>
    <cellStyle name="Normal 2" xfId="4" xr:uid="{076FB5CB-A78A-A34A-9D16-2358FE4AA52F}"/>
    <cellStyle name="Normal 28" xfId="9" xr:uid="{B45AA919-5B5A-784D-A275-E90CA748DC7F}"/>
    <cellStyle name="Normal 4" xfId="11" xr:uid="{65785C93-4C8E-F84B-8D43-EE1C20A6EB7A}"/>
    <cellStyle name="Percent" xfId="3" builtinId="5"/>
    <cellStyle name="Percent 2" xfId="7" xr:uid="{794C2F8D-50F7-9F49-9010-61568928C696}"/>
  </cellStyles>
  <dxfs count="4">
    <dxf>
      <fill>
        <patternFill>
          <bgColor theme="5" tint="0.79998168889431442"/>
        </patternFill>
      </fill>
    </dxf>
    <dxf>
      <fill>
        <patternFill>
          <bgColor theme="5" tint="0.79998168889431442"/>
        </patternFill>
      </fill>
    </dxf>
    <dxf>
      <fill>
        <patternFill patternType="solid">
          <bgColor rgb="FFFFFF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'Potential Study'!$B$38</c:f>
              <c:strCache>
                <c:ptCount val="1"/>
                <c:pt idx="0">
                  <c:v>Estimated Fraction of Population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og"/>
            <c:dispRSqr val="0"/>
            <c:dispEq val="0"/>
          </c:trendline>
          <c:trendline>
            <c:spPr>
              <a:ln w="19050" cap="rnd">
                <a:solidFill>
                  <a:schemeClr val="accent1"/>
                </a:solidFill>
                <a:prstDash val="sysDot"/>
              </a:ln>
              <a:effectLst/>
            </c:spPr>
            <c:trendlineType val="power"/>
            <c:dispRSqr val="0"/>
            <c:dispEq val="0"/>
          </c:trendline>
          <c:trendline>
            <c:spPr>
              <a:ln w="19050" cap="rnd">
                <a:solidFill>
                  <a:schemeClr val="accent1"/>
                </a:solidFill>
                <a:prstDash val="sysDot"/>
              </a:ln>
              <a:effectLst/>
            </c:spPr>
            <c:trendlineType val="poly"/>
            <c:order val="4"/>
            <c:dispRSqr val="1"/>
            <c:dispEq val="1"/>
            <c:trendlineLbl>
              <c:layout>
                <c:manualLayout>
                  <c:x val="9.8633899132286457E-2"/>
                  <c:y val="-0.39080671932834682"/>
                </c:manualLayout>
              </c:layout>
              <c:numFmt formatCode="General" sourceLinked="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rendlineLbl>
          </c:trendline>
          <c:xVal>
            <c:numRef>
              <c:f>'Potential Study'!$A$39:$A$59</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xVal>
          <c:yVal>
            <c:numRef>
              <c:f>'Potential Study'!$B$39:$B$59</c:f>
              <c:numCache>
                <c:formatCode>General</c:formatCode>
                <c:ptCount val="21"/>
                <c:pt idx="0">
                  <c:v>0.91</c:v>
                </c:pt>
                <c:pt idx="1">
                  <c:v>0.87</c:v>
                </c:pt>
                <c:pt idx="2">
                  <c:v>0.8</c:v>
                </c:pt>
                <c:pt idx="3">
                  <c:v>0.71</c:v>
                </c:pt>
                <c:pt idx="4">
                  <c:v>0.63</c:v>
                </c:pt>
                <c:pt idx="5">
                  <c:v>0.55000000000000004</c:v>
                </c:pt>
                <c:pt idx="6">
                  <c:v>0.45</c:v>
                </c:pt>
                <c:pt idx="7">
                  <c:v>0.35</c:v>
                </c:pt>
                <c:pt idx="8">
                  <c:v>0.25</c:v>
                </c:pt>
                <c:pt idx="9">
                  <c:v>0.16</c:v>
                </c:pt>
                <c:pt idx="10">
                  <c:v>0.1</c:v>
                </c:pt>
                <c:pt idx="11">
                  <c:v>0.05</c:v>
                </c:pt>
                <c:pt idx="12">
                  <c:v>0.04</c:v>
                </c:pt>
                <c:pt idx="13">
                  <c:v>0.03</c:v>
                </c:pt>
                <c:pt idx="14">
                  <c:v>0.02</c:v>
                </c:pt>
                <c:pt idx="15">
                  <c:v>0.01</c:v>
                </c:pt>
                <c:pt idx="16">
                  <c:v>5.0000000000000001E-3</c:v>
                </c:pt>
                <c:pt idx="17">
                  <c:v>5.0000000000000001E-3</c:v>
                </c:pt>
                <c:pt idx="18">
                  <c:v>5.0000000000000001E-3</c:v>
                </c:pt>
                <c:pt idx="19">
                  <c:v>5.0000000000000001E-3</c:v>
                </c:pt>
                <c:pt idx="20">
                  <c:v>5.0000000000000001E-3</c:v>
                </c:pt>
              </c:numCache>
            </c:numRef>
          </c:yVal>
          <c:smooth val="0"/>
          <c:extLst>
            <c:ext xmlns:c16="http://schemas.microsoft.com/office/drawing/2014/chart" uri="{C3380CC4-5D6E-409C-BE32-E72D297353CC}">
              <c16:uniqueId val="{00000000-066F-BF42-A6BD-802503F1B9F1}"/>
            </c:ext>
          </c:extLst>
        </c:ser>
        <c:dLbls>
          <c:showLegendKey val="0"/>
          <c:showVal val="0"/>
          <c:showCatName val="0"/>
          <c:showSerName val="0"/>
          <c:showPercent val="0"/>
          <c:showBubbleSize val="0"/>
        </c:dLbls>
        <c:axId val="2083128352"/>
        <c:axId val="2082791488"/>
      </c:scatterChart>
      <c:valAx>
        <c:axId val="2083128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2791488"/>
        <c:crosses val="autoZero"/>
        <c:crossBetween val="midCat"/>
      </c:valAx>
      <c:valAx>
        <c:axId val="2082791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31283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GEC.7!$Y$3</c:f>
              <c:strCache>
                <c:ptCount val="1"/>
                <c:pt idx="0">
                  <c:v>NtG</c:v>
                </c:pt>
              </c:strCache>
            </c:strRef>
          </c:tx>
          <c:spPr>
            <a:ln w="19050" cap="rnd">
              <a:noFill/>
              <a:round/>
            </a:ln>
            <a:effectLst/>
          </c:spPr>
          <c:marker>
            <c:symbol val="circle"/>
            <c:size val="5"/>
            <c:spPr>
              <a:solidFill>
                <a:schemeClr val="accent1"/>
              </a:solidFill>
              <a:ln w="9525">
                <a:solidFill>
                  <a:schemeClr val="accent1"/>
                </a:solidFill>
              </a:ln>
              <a:effectLst/>
            </c:spPr>
          </c:marker>
          <c:xVal>
            <c:numRef>
              <c:f>GEC.7!$X$4:$X$46</c:f>
              <c:numCache>
                <c:formatCode>0%</c:formatCode>
                <c:ptCount val="43"/>
                <c:pt idx="0">
                  <c:v>8.7799057855327947E-2</c:v>
                </c:pt>
                <c:pt idx="1">
                  <c:v>0.51147758300258317</c:v>
                </c:pt>
                <c:pt idx="2">
                  <c:v>0.49816752126101205</c:v>
                </c:pt>
                <c:pt idx="3">
                  <c:v>0.5985896199917875</c:v>
                </c:pt>
                <c:pt idx="4">
                  <c:v>0.255</c:v>
                </c:pt>
                <c:pt idx="5">
                  <c:v>0.42499999999999999</c:v>
                </c:pt>
                <c:pt idx="6">
                  <c:v>0.70836654313099057</c:v>
                </c:pt>
                <c:pt idx="7">
                  <c:v>0.34186061607233342</c:v>
                </c:pt>
                <c:pt idx="8">
                  <c:v>0.34689637824497671</c:v>
                </c:pt>
                <c:pt idx="9">
                  <c:v>0.40053455155181761</c:v>
                </c:pt>
                <c:pt idx="10">
                  <c:v>0.72960899648471511</c:v>
                </c:pt>
                <c:pt idx="11">
                  <c:v>0.79545263193345239</c:v>
                </c:pt>
                <c:pt idx="12">
                  <c:v>2.2019907822301885</c:v>
                </c:pt>
                <c:pt idx="13">
                  <c:v>0.76500000000000001</c:v>
                </c:pt>
                <c:pt idx="14">
                  <c:v>1.0078571428571428</c:v>
                </c:pt>
                <c:pt idx="15">
                  <c:v>0.60609345559603056</c:v>
                </c:pt>
                <c:pt idx="16">
                  <c:v>1.8250513217778639</c:v>
                </c:pt>
                <c:pt idx="17">
                  <c:v>0.71343861373100703</c:v>
                </c:pt>
                <c:pt idx="18">
                  <c:v>0.4469386132963763</c:v>
                </c:pt>
                <c:pt idx="19">
                  <c:v>0.67911977891137965</c:v>
                </c:pt>
                <c:pt idx="20">
                  <c:v>1.0103388819474197</c:v>
                </c:pt>
                <c:pt idx="21">
                  <c:v>0.47059587005459191</c:v>
                </c:pt>
                <c:pt idx="22">
                  <c:v>0.57834577605797488</c:v>
                </c:pt>
                <c:pt idx="23">
                  <c:v>0.60377757050748404</c:v>
                </c:pt>
                <c:pt idx="24">
                  <c:v>0.33293878567593232</c:v>
                </c:pt>
                <c:pt idx="25">
                  <c:v>0.48729764265667874</c:v>
                </c:pt>
                <c:pt idx="26">
                  <c:v>0.13798735714081703</c:v>
                </c:pt>
                <c:pt idx="27">
                  <c:v>0.23812673820542404</c:v>
                </c:pt>
                <c:pt idx="28">
                  <c:v>0.22926336779171869</c:v>
                </c:pt>
                <c:pt idx="29">
                  <c:v>0.30045651657226907</c:v>
                </c:pt>
                <c:pt idx="30">
                  <c:v>0.86894857333816244</c:v>
                </c:pt>
                <c:pt idx="31">
                  <c:v>0.38441305190040043</c:v>
                </c:pt>
                <c:pt idx="32">
                  <c:v>0.17642062729391247</c:v>
                </c:pt>
                <c:pt idx="33">
                  <c:v>0.150474027799469</c:v>
                </c:pt>
                <c:pt idx="34">
                  <c:v>7.7027566992094593E-2</c:v>
                </c:pt>
                <c:pt idx="35">
                  <c:v>0.11546876123545682</c:v>
                </c:pt>
                <c:pt idx="36">
                  <c:v>9.8247647016835429E-2</c:v>
                </c:pt>
                <c:pt idx="37">
                  <c:v>0.2382505440158259</c:v>
                </c:pt>
                <c:pt idx="38">
                  <c:v>0.18516881659261078</c:v>
                </c:pt>
                <c:pt idx="39">
                  <c:v>0.13241249841095687</c:v>
                </c:pt>
                <c:pt idx="40">
                  <c:v>0.10659979598023529</c:v>
                </c:pt>
                <c:pt idx="41">
                  <c:v>8.9148940698157486E-2</c:v>
                </c:pt>
                <c:pt idx="42">
                  <c:v>0.13188516137050976</c:v>
                </c:pt>
              </c:numCache>
            </c:numRef>
          </c:xVal>
          <c:yVal>
            <c:numRef>
              <c:f>GEC.7!$Y$4:$Y$46</c:f>
              <c:numCache>
                <c:formatCode>0%</c:formatCode>
                <c:ptCount val="43"/>
                <c:pt idx="0">
                  <c:v>0.15310000000000001</c:v>
                </c:pt>
                <c:pt idx="1">
                  <c:v>0.5081494825034496</c:v>
                </c:pt>
                <c:pt idx="2">
                  <c:v>0.43709779125342774</c:v>
                </c:pt>
                <c:pt idx="3">
                  <c:v>0.95</c:v>
                </c:pt>
                <c:pt idx="4">
                  <c:v>0.96</c:v>
                </c:pt>
                <c:pt idx="5">
                  <c:v>0.96</c:v>
                </c:pt>
                <c:pt idx="6">
                  <c:v>0.95</c:v>
                </c:pt>
                <c:pt idx="7">
                  <c:v>0.66999999999999993</c:v>
                </c:pt>
                <c:pt idx="8">
                  <c:v>0.66999999999999993</c:v>
                </c:pt>
                <c:pt idx="9">
                  <c:v>0.66999999999999993</c:v>
                </c:pt>
                <c:pt idx="10">
                  <c:v>0.95000000000000007</c:v>
                </c:pt>
                <c:pt idx="11">
                  <c:v>0.95</c:v>
                </c:pt>
                <c:pt idx="12">
                  <c:v>0.95</c:v>
                </c:pt>
                <c:pt idx="13">
                  <c:v>0.92</c:v>
                </c:pt>
                <c:pt idx="14">
                  <c:v>0.95</c:v>
                </c:pt>
                <c:pt idx="15">
                  <c:v>0.9</c:v>
                </c:pt>
                <c:pt idx="16">
                  <c:v>0.94999999999999984</c:v>
                </c:pt>
                <c:pt idx="17">
                  <c:v>0.95</c:v>
                </c:pt>
                <c:pt idx="18">
                  <c:v>0.94999999999999984</c:v>
                </c:pt>
                <c:pt idx="19">
                  <c:v>0.94999999999999984</c:v>
                </c:pt>
                <c:pt idx="20">
                  <c:v>0.94999999999999984</c:v>
                </c:pt>
                <c:pt idx="21">
                  <c:v>0.5</c:v>
                </c:pt>
                <c:pt idx="22">
                  <c:v>0.62</c:v>
                </c:pt>
                <c:pt idx="23">
                  <c:v>7.999999999999996E-2</c:v>
                </c:pt>
                <c:pt idx="24">
                  <c:v>0.90000000000000013</c:v>
                </c:pt>
                <c:pt idx="25">
                  <c:v>0.5</c:v>
                </c:pt>
                <c:pt idx="26">
                  <c:v>0.30000000000000004</c:v>
                </c:pt>
                <c:pt idx="27">
                  <c:v>0.30000000000000004</c:v>
                </c:pt>
                <c:pt idx="28">
                  <c:v>0.94999999999999984</c:v>
                </c:pt>
                <c:pt idx="29">
                  <c:v>0.94999999999999984</c:v>
                </c:pt>
                <c:pt idx="30">
                  <c:v>0.95000000000000007</c:v>
                </c:pt>
                <c:pt idx="31">
                  <c:v>0.91999999999999993</c:v>
                </c:pt>
                <c:pt idx="32">
                  <c:v>1</c:v>
                </c:pt>
                <c:pt idx="33">
                  <c:v>0.79999999999999993</c:v>
                </c:pt>
                <c:pt idx="34">
                  <c:v>0.98000000000000009</c:v>
                </c:pt>
                <c:pt idx="35">
                  <c:v>0.8</c:v>
                </c:pt>
                <c:pt idx="36">
                  <c:v>0.8</c:v>
                </c:pt>
                <c:pt idx="37">
                  <c:v>0.8</c:v>
                </c:pt>
                <c:pt idx="38">
                  <c:v>0.8</c:v>
                </c:pt>
                <c:pt idx="39">
                  <c:v>0.8</c:v>
                </c:pt>
                <c:pt idx="40">
                  <c:v>0.8</c:v>
                </c:pt>
                <c:pt idx="41">
                  <c:v>0.8</c:v>
                </c:pt>
                <c:pt idx="42">
                  <c:v>0.8</c:v>
                </c:pt>
              </c:numCache>
            </c:numRef>
          </c:yVal>
          <c:smooth val="0"/>
          <c:extLst>
            <c:ext xmlns:c16="http://schemas.microsoft.com/office/drawing/2014/chart" uri="{C3380CC4-5D6E-409C-BE32-E72D297353CC}">
              <c16:uniqueId val="{00000000-937A-FF48-A6C5-89B8A384BDBA}"/>
            </c:ext>
          </c:extLst>
        </c:ser>
        <c:dLbls>
          <c:showLegendKey val="0"/>
          <c:showVal val="0"/>
          <c:showCatName val="0"/>
          <c:showSerName val="0"/>
          <c:showPercent val="0"/>
          <c:showBubbleSize val="0"/>
        </c:dLbls>
        <c:axId val="1248946175"/>
        <c:axId val="1021747023"/>
      </c:scatterChart>
      <c:valAx>
        <c:axId val="124894617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1747023"/>
        <c:crosses val="autoZero"/>
        <c:crossBetween val="midCat"/>
      </c:valAx>
      <c:valAx>
        <c:axId val="10217470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8946175"/>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84667</xdr:colOff>
      <xdr:row>3</xdr:row>
      <xdr:rowOff>99483</xdr:rowOff>
    </xdr:from>
    <xdr:to>
      <xdr:col>10</xdr:col>
      <xdr:colOff>687026</xdr:colOff>
      <xdr:row>33</xdr:row>
      <xdr:rowOff>124883</xdr:rowOff>
    </xdr:to>
    <xdr:pic>
      <xdr:nvPicPr>
        <xdr:cNvPr id="2" name="Picture 1">
          <a:extLst>
            <a:ext uri="{FF2B5EF4-FFF2-40B4-BE49-F238E27FC236}">
              <a16:creationId xmlns:a16="http://schemas.microsoft.com/office/drawing/2014/main" id="{E4354B0A-DF9D-824B-9CBD-78773629B21A}"/>
            </a:ext>
          </a:extLst>
        </xdr:cNvPr>
        <xdr:cNvPicPr>
          <a:picLocks noChangeAspect="1"/>
        </xdr:cNvPicPr>
      </xdr:nvPicPr>
      <xdr:blipFill>
        <a:blip xmlns:r="http://schemas.openxmlformats.org/officeDocument/2006/relationships" r:embed="rId1"/>
        <a:stretch>
          <a:fillRect/>
        </a:stretch>
      </xdr:blipFill>
      <xdr:spPr>
        <a:xfrm>
          <a:off x="84667" y="776816"/>
          <a:ext cx="8857359" cy="5740400"/>
        </a:xfrm>
        <a:prstGeom prst="rect">
          <a:avLst/>
        </a:prstGeom>
      </xdr:spPr>
    </xdr:pic>
    <xdr:clientData/>
  </xdr:twoCellAnchor>
  <xdr:twoCellAnchor>
    <xdr:from>
      <xdr:col>2</xdr:col>
      <xdr:colOff>285750</xdr:colOff>
      <xdr:row>7</xdr:row>
      <xdr:rowOff>137583</xdr:rowOff>
    </xdr:from>
    <xdr:to>
      <xdr:col>5</xdr:col>
      <xdr:colOff>387858</xdr:colOff>
      <xdr:row>26</xdr:row>
      <xdr:rowOff>21166</xdr:rowOff>
    </xdr:to>
    <xdr:sp macro="" textlink="">
      <xdr:nvSpPr>
        <xdr:cNvPr id="4" name="Rectangle 3">
          <a:extLst>
            <a:ext uri="{FF2B5EF4-FFF2-40B4-BE49-F238E27FC236}">
              <a16:creationId xmlns:a16="http://schemas.microsoft.com/office/drawing/2014/main" id="{2D9D8E47-2147-8E43-A951-BFC291736D1D}"/>
            </a:ext>
          </a:extLst>
        </xdr:cNvPr>
        <xdr:cNvSpPr>
          <a:spLocks/>
        </xdr:cNvSpPr>
      </xdr:nvSpPr>
      <xdr:spPr>
        <a:xfrm>
          <a:off x="1936750" y="1576916"/>
          <a:ext cx="2578608"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289984</xdr:colOff>
      <xdr:row>7</xdr:row>
      <xdr:rowOff>141817</xdr:rowOff>
    </xdr:from>
    <xdr:to>
      <xdr:col>3</xdr:col>
      <xdr:colOff>753788</xdr:colOff>
      <xdr:row>26</xdr:row>
      <xdr:rowOff>25400</xdr:rowOff>
    </xdr:to>
    <xdr:sp macro="" textlink="">
      <xdr:nvSpPr>
        <xdr:cNvPr id="5" name="Rectangle 4">
          <a:extLst>
            <a:ext uri="{FF2B5EF4-FFF2-40B4-BE49-F238E27FC236}">
              <a16:creationId xmlns:a16="http://schemas.microsoft.com/office/drawing/2014/main" id="{D4E59A36-7323-0446-B7C2-7022B8BDEAC5}"/>
            </a:ext>
          </a:extLst>
        </xdr:cNvPr>
        <xdr:cNvSpPr/>
      </xdr:nvSpPr>
      <xdr:spPr>
        <a:xfrm>
          <a:off x="1940984" y="1581150"/>
          <a:ext cx="1289304"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289983</xdr:colOff>
      <xdr:row>7</xdr:row>
      <xdr:rowOff>141816</xdr:rowOff>
    </xdr:from>
    <xdr:to>
      <xdr:col>2</xdr:col>
      <xdr:colOff>546015</xdr:colOff>
      <xdr:row>26</xdr:row>
      <xdr:rowOff>25399</xdr:rowOff>
    </xdr:to>
    <xdr:sp macro="" textlink="">
      <xdr:nvSpPr>
        <xdr:cNvPr id="6" name="Rectangle 5">
          <a:extLst>
            <a:ext uri="{FF2B5EF4-FFF2-40B4-BE49-F238E27FC236}">
              <a16:creationId xmlns:a16="http://schemas.microsoft.com/office/drawing/2014/main" id="{C99B785C-A3F2-B345-8A71-F895C291B2FC}"/>
            </a:ext>
          </a:extLst>
        </xdr:cNvPr>
        <xdr:cNvSpPr>
          <a:spLocks/>
        </xdr:cNvSpPr>
      </xdr:nvSpPr>
      <xdr:spPr>
        <a:xfrm>
          <a:off x="1940983" y="1581149"/>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548216</xdr:colOff>
      <xdr:row>7</xdr:row>
      <xdr:rowOff>146049</xdr:rowOff>
    </xdr:from>
    <xdr:to>
      <xdr:col>2</xdr:col>
      <xdr:colOff>804248</xdr:colOff>
      <xdr:row>26</xdr:row>
      <xdr:rowOff>29632</xdr:rowOff>
    </xdr:to>
    <xdr:sp macro="" textlink="">
      <xdr:nvSpPr>
        <xdr:cNvPr id="7" name="Rectangle 6">
          <a:extLst>
            <a:ext uri="{FF2B5EF4-FFF2-40B4-BE49-F238E27FC236}">
              <a16:creationId xmlns:a16="http://schemas.microsoft.com/office/drawing/2014/main" id="{2E82AFBF-A292-7942-998F-094E69774F38}"/>
            </a:ext>
          </a:extLst>
        </xdr:cNvPr>
        <xdr:cNvSpPr>
          <a:spLocks/>
        </xdr:cNvSpPr>
      </xdr:nvSpPr>
      <xdr:spPr>
        <a:xfrm>
          <a:off x="2199216" y="1585382"/>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795866</xdr:colOff>
      <xdr:row>7</xdr:row>
      <xdr:rowOff>150283</xdr:rowOff>
    </xdr:from>
    <xdr:to>
      <xdr:col>3</xdr:col>
      <xdr:colOff>226398</xdr:colOff>
      <xdr:row>26</xdr:row>
      <xdr:rowOff>33866</xdr:rowOff>
    </xdr:to>
    <xdr:sp macro="" textlink="">
      <xdr:nvSpPr>
        <xdr:cNvPr id="8" name="Rectangle 7">
          <a:extLst>
            <a:ext uri="{FF2B5EF4-FFF2-40B4-BE49-F238E27FC236}">
              <a16:creationId xmlns:a16="http://schemas.microsoft.com/office/drawing/2014/main" id="{DAD1B458-FFDD-464A-B2E8-75E890F50E0B}"/>
            </a:ext>
          </a:extLst>
        </xdr:cNvPr>
        <xdr:cNvSpPr>
          <a:spLocks/>
        </xdr:cNvSpPr>
      </xdr:nvSpPr>
      <xdr:spPr>
        <a:xfrm>
          <a:off x="2446866" y="1589616"/>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228600</xdr:colOff>
      <xdr:row>7</xdr:row>
      <xdr:rowOff>143933</xdr:rowOff>
    </xdr:from>
    <xdr:to>
      <xdr:col>3</xdr:col>
      <xdr:colOff>484632</xdr:colOff>
      <xdr:row>26</xdr:row>
      <xdr:rowOff>27516</xdr:rowOff>
    </xdr:to>
    <xdr:sp macro="" textlink="">
      <xdr:nvSpPr>
        <xdr:cNvPr id="9" name="Rectangle 8">
          <a:extLst>
            <a:ext uri="{FF2B5EF4-FFF2-40B4-BE49-F238E27FC236}">
              <a16:creationId xmlns:a16="http://schemas.microsoft.com/office/drawing/2014/main" id="{0533D1FD-EF52-1947-80DD-B40D1B9E897B}"/>
            </a:ext>
          </a:extLst>
        </xdr:cNvPr>
        <xdr:cNvSpPr>
          <a:spLocks/>
        </xdr:cNvSpPr>
      </xdr:nvSpPr>
      <xdr:spPr>
        <a:xfrm>
          <a:off x="2705100" y="1583266"/>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749301</xdr:colOff>
      <xdr:row>7</xdr:row>
      <xdr:rowOff>146050</xdr:rowOff>
    </xdr:from>
    <xdr:to>
      <xdr:col>5</xdr:col>
      <xdr:colOff>387605</xdr:colOff>
      <xdr:row>26</xdr:row>
      <xdr:rowOff>29633</xdr:rowOff>
    </xdr:to>
    <xdr:sp macro="" textlink="">
      <xdr:nvSpPr>
        <xdr:cNvPr id="10" name="Rectangle 9">
          <a:extLst>
            <a:ext uri="{FF2B5EF4-FFF2-40B4-BE49-F238E27FC236}">
              <a16:creationId xmlns:a16="http://schemas.microsoft.com/office/drawing/2014/main" id="{D895695D-A1BA-7842-AC76-0C6F308BB6BE}"/>
            </a:ext>
          </a:extLst>
        </xdr:cNvPr>
        <xdr:cNvSpPr/>
      </xdr:nvSpPr>
      <xdr:spPr>
        <a:xfrm>
          <a:off x="3225801" y="1585383"/>
          <a:ext cx="1289304"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3</xdr:col>
      <xdr:colOff>749300</xdr:colOff>
      <xdr:row>7</xdr:row>
      <xdr:rowOff>146049</xdr:rowOff>
    </xdr:from>
    <xdr:to>
      <xdr:col>4</xdr:col>
      <xdr:colOff>179832</xdr:colOff>
      <xdr:row>26</xdr:row>
      <xdr:rowOff>29632</xdr:rowOff>
    </xdr:to>
    <xdr:sp macro="" textlink="">
      <xdr:nvSpPr>
        <xdr:cNvPr id="11" name="Rectangle 10">
          <a:extLst>
            <a:ext uri="{FF2B5EF4-FFF2-40B4-BE49-F238E27FC236}">
              <a16:creationId xmlns:a16="http://schemas.microsoft.com/office/drawing/2014/main" id="{4FF97532-C48F-A143-AB81-C64E33E9CE3D}"/>
            </a:ext>
          </a:extLst>
        </xdr:cNvPr>
        <xdr:cNvSpPr>
          <a:spLocks/>
        </xdr:cNvSpPr>
      </xdr:nvSpPr>
      <xdr:spPr>
        <a:xfrm>
          <a:off x="3225800" y="1585382"/>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182033</xdr:colOff>
      <xdr:row>7</xdr:row>
      <xdr:rowOff>150282</xdr:rowOff>
    </xdr:from>
    <xdr:to>
      <xdr:col>4</xdr:col>
      <xdr:colOff>438065</xdr:colOff>
      <xdr:row>26</xdr:row>
      <xdr:rowOff>33865</xdr:rowOff>
    </xdr:to>
    <xdr:sp macro="" textlink="">
      <xdr:nvSpPr>
        <xdr:cNvPr id="12" name="Rectangle 11">
          <a:extLst>
            <a:ext uri="{FF2B5EF4-FFF2-40B4-BE49-F238E27FC236}">
              <a16:creationId xmlns:a16="http://schemas.microsoft.com/office/drawing/2014/main" id="{676079FC-7233-F641-A0D5-9CDCB0DE1020}"/>
            </a:ext>
          </a:extLst>
        </xdr:cNvPr>
        <xdr:cNvSpPr>
          <a:spLocks/>
        </xdr:cNvSpPr>
      </xdr:nvSpPr>
      <xdr:spPr>
        <a:xfrm>
          <a:off x="3484033" y="1589615"/>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429683</xdr:colOff>
      <xdr:row>7</xdr:row>
      <xdr:rowOff>154516</xdr:rowOff>
    </xdr:from>
    <xdr:to>
      <xdr:col>4</xdr:col>
      <xdr:colOff>685715</xdr:colOff>
      <xdr:row>26</xdr:row>
      <xdr:rowOff>38099</xdr:rowOff>
    </xdr:to>
    <xdr:sp macro="" textlink="">
      <xdr:nvSpPr>
        <xdr:cNvPr id="13" name="Rectangle 12">
          <a:extLst>
            <a:ext uri="{FF2B5EF4-FFF2-40B4-BE49-F238E27FC236}">
              <a16:creationId xmlns:a16="http://schemas.microsoft.com/office/drawing/2014/main" id="{4AC89CA0-6793-F448-94AF-B64A3D244075}"/>
            </a:ext>
          </a:extLst>
        </xdr:cNvPr>
        <xdr:cNvSpPr>
          <a:spLocks/>
        </xdr:cNvSpPr>
      </xdr:nvSpPr>
      <xdr:spPr>
        <a:xfrm>
          <a:off x="3731683" y="1593849"/>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4</xdr:col>
      <xdr:colOff>687917</xdr:colOff>
      <xdr:row>7</xdr:row>
      <xdr:rowOff>148166</xdr:rowOff>
    </xdr:from>
    <xdr:to>
      <xdr:col>5</xdr:col>
      <xdr:colOff>118449</xdr:colOff>
      <xdr:row>26</xdr:row>
      <xdr:rowOff>31749</xdr:rowOff>
    </xdr:to>
    <xdr:sp macro="" textlink="">
      <xdr:nvSpPr>
        <xdr:cNvPr id="14" name="Rectangle 13">
          <a:extLst>
            <a:ext uri="{FF2B5EF4-FFF2-40B4-BE49-F238E27FC236}">
              <a16:creationId xmlns:a16="http://schemas.microsoft.com/office/drawing/2014/main" id="{E3F68D07-3655-E141-81B9-9700BF95CA1F}"/>
            </a:ext>
          </a:extLst>
        </xdr:cNvPr>
        <xdr:cNvSpPr>
          <a:spLocks/>
        </xdr:cNvSpPr>
      </xdr:nvSpPr>
      <xdr:spPr>
        <a:xfrm>
          <a:off x="3989917" y="1587499"/>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393701</xdr:colOff>
      <xdr:row>7</xdr:row>
      <xdr:rowOff>150283</xdr:rowOff>
    </xdr:from>
    <xdr:to>
      <xdr:col>7</xdr:col>
      <xdr:colOff>32005</xdr:colOff>
      <xdr:row>26</xdr:row>
      <xdr:rowOff>33866</xdr:rowOff>
    </xdr:to>
    <xdr:sp macro="" textlink="">
      <xdr:nvSpPr>
        <xdr:cNvPr id="15" name="Rectangle 14">
          <a:extLst>
            <a:ext uri="{FF2B5EF4-FFF2-40B4-BE49-F238E27FC236}">
              <a16:creationId xmlns:a16="http://schemas.microsoft.com/office/drawing/2014/main" id="{BDE9C93C-A7DB-834F-8D5B-217111AC1162}"/>
            </a:ext>
          </a:extLst>
        </xdr:cNvPr>
        <xdr:cNvSpPr/>
      </xdr:nvSpPr>
      <xdr:spPr>
        <a:xfrm>
          <a:off x="4521201" y="1589616"/>
          <a:ext cx="1289304"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393700</xdr:colOff>
      <xdr:row>7</xdr:row>
      <xdr:rowOff>150282</xdr:rowOff>
    </xdr:from>
    <xdr:to>
      <xdr:col>5</xdr:col>
      <xdr:colOff>649732</xdr:colOff>
      <xdr:row>26</xdr:row>
      <xdr:rowOff>33865</xdr:rowOff>
    </xdr:to>
    <xdr:sp macro="" textlink="">
      <xdr:nvSpPr>
        <xdr:cNvPr id="16" name="Rectangle 15">
          <a:extLst>
            <a:ext uri="{FF2B5EF4-FFF2-40B4-BE49-F238E27FC236}">
              <a16:creationId xmlns:a16="http://schemas.microsoft.com/office/drawing/2014/main" id="{51E489BF-D00D-5B42-B880-06C1917693E0}"/>
            </a:ext>
          </a:extLst>
        </xdr:cNvPr>
        <xdr:cNvSpPr>
          <a:spLocks/>
        </xdr:cNvSpPr>
      </xdr:nvSpPr>
      <xdr:spPr>
        <a:xfrm>
          <a:off x="4521200" y="1589615"/>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651933</xdr:colOff>
      <xdr:row>7</xdr:row>
      <xdr:rowOff>154515</xdr:rowOff>
    </xdr:from>
    <xdr:to>
      <xdr:col>6</xdr:col>
      <xdr:colOff>82465</xdr:colOff>
      <xdr:row>26</xdr:row>
      <xdr:rowOff>38098</xdr:rowOff>
    </xdr:to>
    <xdr:sp macro="" textlink="">
      <xdr:nvSpPr>
        <xdr:cNvPr id="17" name="Rectangle 16">
          <a:extLst>
            <a:ext uri="{FF2B5EF4-FFF2-40B4-BE49-F238E27FC236}">
              <a16:creationId xmlns:a16="http://schemas.microsoft.com/office/drawing/2014/main" id="{0FD7D8E0-F7EE-9B47-BE5F-4558E2DEEB91}"/>
            </a:ext>
          </a:extLst>
        </xdr:cNvPr>
        <xdr:cNvSpPr>
          <a:spLocks/>
        </xdr:cNvSpPr>
      </xdr:nvSpPr>
      <xdr:spPr>
        <a:xfrm>
          <a:off x="4779433" y="1593848"/>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74083</xdr:colOff>
      <xdr:row>7</xdr:row>
      <xdr:rowOff>158749</xdr:rowOff>
    </xdr:from>
    <xdr:to>
      <xdr:col>6</xdr:col>
      <xdr:colOff>330115</xdr:colOff>
      <xdr:row>26</xdr:row>
      <xdr:rowOff>42332</xdr:rowOff>
    </xdr:to>
    <xdr:sp macro="" textlink="">
      <xdr:nvSpPr>
        <xdr:cNvPr id="18" name="Rectangle 17">
          <a:extLst>
            <a:ext uri="{FF2B5EF4-FFF2-40B4-BE49-F238E27FC236}">
              <a16:creationId xmlns:a16="http://schemas.microsoft.com/office/drawing/2014/main" id="{15084AB9-7C57-5749-A25A-00FEFF9E8FB2}"/>
            </a:ext>
          </a:extLst>
        </xdr:cNvPr>
        <xdr:cNvSpPr>
          <a:spLocks/>
        </xdr:cNvSpPr>
      </xdr:nvSpPr>
      <xdr:spPr>
        <a:xfrm>
          <a:off x="5027083" y="1598082"/>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332317</xdr:colOff>
      <xdr:row>7</xdr:row>
      <xdr:rowOff>152399</xdr:rowOff>
    </xdr:from>
    <xdr:to>
      <xdr:col>6</xdr:col>
      <xdr:colOff>588349</xdr:colOff>
      <xdr:row>26</xdr:row>
      <xdr:rowOff>35982</xdr:rowOff>
    </xdr:to>
    <xdr:sp macro="" textlink="">
      <xdr:nvSpPr>
        <xdr:cNvPr id="19" name="Rectangle 18">
          <a:extLst>
            <a:ext uri="{FF2B5EF4-FFF2-40B4-BE49-F238E27FC236}">
              <a16:creationId xmlns:a16="http://schemas.microsoft.com/office/drawing/2014/main" id="{F1F60905-7333-A34A-87F0-1C0A60867C25}"/>
            </a:ext>
          </a:extLst>
        </xdr:cNvPr>
        <xdr:cNvSpPr>
          <a:spLocks/>
        </xdr:cNvSpPr>
      </xdr:nvSpPr>
      <xdr:spPr>
        <a:xfrm>
          <a:off x="5285317" y="1591732"/>
          <a:ext cx="256032" cy="3503083"/>
        </a:xfrm>
        <a:prstGeom prst="rect">
          <a:avLst/>
        </a:prstGeom>
        <a:no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423333</xdr:colOff>
      <xdr:row>36</xdr:row>
      <xdr:rowOff>116417</xdr:rowOff>
    </xdr:from>
    <xdr:to>
      <xdr:col>13</xdr:col>
      <xdr:colOff>592667</xdr:colOff>
      <xdr:row>56</xdr:row>
      <xdr:rowOff>0</xdr:rowOff>
    </xdr:to>
    <xdr:graphicFrame macro="">
      <xdr:nvGraphicFramePr>
        <xdr:cNvPr id="21" name="Chart 20">
          <a:extLst>
            <a:ext uri="{FF2B5EF4-FFF2-40B4-BE49-F238E27FC236}">
              <a16:creationId xmlns:a16="http://schemas.microsoft.com/office/drawing/2014/main" id="{1CDC5DF2-843B-7C4C-B0F0-3088E831FC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1562100</xdr:colOff>
      <xdr:row>52</xdr:row>
      <xdr:rowOff>127000</xdr:rowOff>
    </xdr:from>
    <xdr:to>
      <xdr:col>24</xdr:col>
      <xdr:colOff>584200</xdr:colOff>
      <xdr:row>74</xdr:row>
      <xdr:rowOff>38100</xdr:rowOff>
    </xdr:to>
    <xdr:graphicFrame macro="">
      <xdr:nvGraphicFramePr>
        <xdr:cNvPr id="2" name="Chart 1">
          <a:extLst>
            <a:ext uri="{FF2B5EF4-FFF2-40B4-BE49-F238E27FC236}">
              <a16:creationId xmlns:a16="http://schemas.microsoft.com/office/drawing/2014/main" id="{2D96F273-FE6E-1042-B02D-B00B89FBA9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eo/Dropbox%20(GEEG)/Public/_SBUA%20Ontario/Gas%20DSM%202022-26/Sources/MA/2020-PYR-Data-Tables-Statewide-Gas-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Data"/>
      <sheetName val="Overview"/>
      <sheetName val="Ref"/>
      <sheetName val="Selections"/>
      <sheetName val="Variances"/>
      <sheetName val="Budget PlanYr"/>
      <sheetName val="Budget 3Yr"/>
      <sheetName val="Savings PlanYr"/>
      <sheetName val="Savings 3Yr"/>
      <sheetName val="Benefits PlanYr"/>
      <sheetName val="Benefits 3Yr"/>
      <sheetName val="BCR PlanYr"/>
      <sheetName val="BCR 3Yr"/>
      <sheetName val="Initiatives PlanYr"/>
      <sheetName val="Initiatives 3Yr"/>
      <sheetName val="GHG PlanYr"/>
      <sheetName val="GHG 3Yr"/>
      <sheetName val="CalcFields"/>
    </sheetNames>
    <sheetDataSet>
      <sheetData sheetId="0"/>
      <sheetData sheetId="1"/>
      <sheetData sheetId="2">
        <row r="22">
          <cell r="E22">
            <v>2.3300000000000001E-2</v>
          </cell>
        </row>
        <row r="23">
          <cell r="E23">
            <v>2.3300000000000001E-2</v>
          </cell>
        </row>
        <row r="27">
          <cell r="E27">
            <v>2019</v>
          </cell>
        </row>
        <row r="28">
          <cell r="E28">
            <v>2020</v>
          </cell>
        </row>
        <row r="29">
          <cell r="E29">
            <v>2021</v>
          </cell>
        </row>
        <row r="33">
          <cell r="E33">
            <v>1.643690349946978E-4</v>
          </cell>
          <cell r="F33">
            <v>4.2417815482502655E-5</v>
          </cell>
          <cell r="G33">
            <v>0.49399999999999999</v>
          </cell>
        </row>
        <row r="34">
          <cell r="G34">
            <v>5.8500000000000002E-3</v>
          </cell>
        </row>
        <row r="35">
          <cell r="G35">
            <v>8.0693000000000001E-2</v>
          </cell>
        </row>
        <row r="36">
          <cell r="G36">
            <v>6.9588999999999998E-2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I.5.EGI.GEC.7_Attachment%201_MODIFIED-FW.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4635.926655439813" createdVersion="7" refreshedVersion="7" minRefreshableVersion="3" recordCount="47" xr:uid="{5214B8D2-BCD2-8B47-A54A-5F55A3265CF0}">
  <cacheSource type="worksheet">
    <worksheetSource ref="A3:W50" sheet="GEC.7" r:id="rId2"/>
  </cacheSource>
  <cacheFields count="23">
    <cacheField name="Program 1 2 3" numFmtId="0">
      <sharedItems count="5">
        <s v="Large Volume Program"/>
        <s v="Commercial Program"/>
        <s v="Industrial Program"/>
        <s v="Residential Program"/>
        <s v="Low Income Program"/>
      </sharedItems>
    </cacheField>
    <cacheField name="Offering" numFmtId="0">
      <sharedItems count="11">
        <s v="Direct Access"/>
        <s v="Commercial Custom"/>
        <s v="Industrial Custom"/>
        <s v="Residential Whole Home"/>
        <s v="Residential Smart Home"/>
        <s v="Residential Single Measure"/>
        <s v="Direct Install"/>
        <s v="Prescriptive Downstream"/>
        <s v="Prescriptive Midstream"/>
        <s v="Affordable Housing Multi-Residential"/>
        <s v="Home Winterproofing "/>
      </sharedItems>
    </cacheField>
    <cacheField name="Measure" numFmtId="0">
      <sharedItems/>
    </cacheField>
    <cacheField name="Number of Projects / Number of Units 4 5" numFmtId="3">
      <sharedItems containsSemiMixedTypes="0" containsString="0" containsNumber="1" containsInteger="1" minValue="5" maxValue="32250"/>
    </cacheField>
    <cacheField name="Average NTG (%) 6" numFmtId="168">
      <sharedItems containsSemiMixedTypes="0" containsString="0" containsNumber="1" minValue="7.999999999999996E-2" maxValue="1"/>
    </cacheField>
    <cacheField name="Adjustment Factor (%)" numFmtId="9">
      <sharedItems containsSemiMixedTypes="0" containsString="0" containsNumber="1" containsInteger="1" minValue="1" maxValue="1"/>
    </cacheField>
    <cacheField name="Average EUL (years) 7" numFmtId="166">
      <sharedItems containsSemiMixedTypes="0" containsString="0" containsNumber="1" minValue="10" maxValue="30"/>
    </cacheField>
    <cacheField name="Gross Annual Gas Savings (m3/unit)" numFmtId="167">
      <sharedItems containsSemiMixedTypes="0" containsString="0" containsNumber="1" minValue="17.100219039595618" maxValue="690279.65"/>
    </cacheField>
    <cacheField name="Gross Annual Electricity Savings (kWh/unit)" numFmtId="167">
      <sharedItems containsSemiMixedTypes="0" containsString="0" containsNumber="1" minValue="-1162.7393877551019" maxValue="15022.644134215714"/>
    </cacheField>
    <cacheField name="Gross Annual Water Savings (m3/unit)" numFmtId="167">
      <sharedItems containsString="0" containsBlank="1" containsNumber="1" minValue="0" maxValue="459.6109439999999"/>
    </cacheField>
    <cacheField name="Gross Incremental Equipment Costs ($/unit)" numFmtId="167">
      <sharedItems containsSemiMixedTypes="0" containsString="0" containsNumber="1" minValue="1.9778264532434704" maxValue="323440"/>
    </cacheField>
    <cacheField name="Budgeted Incentive Cost Per Unit ($/unit) 8" numFmtId="167">
      <sharedItems containsSemiMixedTypes="0" containsString="0" containsNumber="1" minValue="12.019909435551812" maxValue="37676.716049382718"/>
    </cacheField>
    <cacheField name="Gross Annual Gas Savings (m3)" numFmtId="167">
      <sharedItems containsSemiMixedTypes="0" containsString="0" containsNumber="1" minValue="4314.3500000000004" maxValue="115253150" count="47">
        <n v="60744609.200000003"/>
        <n v="33555586"/>
        <n v="115253150"/>
        <n v="8167500"/>
        <n v="5966250"/>
        <n v="462500"/>
        <n v="204428"/>
        <n v="668568"/>
        <n v="24612"/>
        <n v="250614"/>
        <n v="1679973"/>
        <n v="1416052"/>
        <n v="82737"/>
        <n v="59369.059800000003"/>
        <n v="207883.20000000004"/>
        <n v="69800"/>
        <n v="4314.3500000000004"/>
        <n v="129599.89"/>
        <n v="9249.25"/>
        <n v="55680.54"/>
        <n v="19462.420000000002"/>
        <n v="193068"/>
        <n v="638746"/>
        <n v="338211.48"/>
        <n v="141240"/>
        <n v="445470"/>
        <n v="118293.6"/>
        <n v="907308.57"/>
        <n v="10328.68"/>
        <n v="286143.06000000006"/>
        <n v="166951.59999999998"/>
        <n v="126945.42660000001"/>
        <n v="31488.100000000002"/>
        <n v="42679"/>
        <n v="63908.706999999995"/>
        <n v="915200"/>
        <n v="97779"/>
        <n v="9515"/>
        <n v="27390"/>
        <n v="35508"/>
        <n v="1029150"/>
        <n v="64080"/>
        <n v="195750"/>
        <n v="5015604"/>
        <n v="2314200"/>
        <n v="518000"/>
        <n v="40595.919999999998"/>
      </sharedItems>
    </cacheField>
    <cacheField name="Net Annual Gas Savings (m3)" numFmtId="167">
      <sharedItems containsSemiMixedTypes="0" containsString="0" containsNumber="1" minValue="4098.6324999999997" maxValue="50376897.299999997" count="47">
        <n v="9299999.6685200017"/>
        <n v="17051253.660999998"/>
        <n v="50376897.299999997"/>
        <n v="7759125"/>
        <n v="5727600"/>
        <n v="444000"/>
        <n v="194206.59999999998"/>
        <n v="447940.55999999994"/>
        <n v="16490.039999999997"/>
        <n v="167911.37999999998"/>
        <n v="1595974.35"/>
        <n v="1345249.4"/>
        <n v="78600.149999999994"/>
        <n v="54619.535016000002"/>
        <n v="197489.04000000004"/>
        <n v="62820"/>
        <n v="4098.6324999999997"/>
        <n v="123119.8955"/>
        <n v="8786.7874999999985"/>
        <n v="52896.512999999992"/>
        <n v="18489.298999999999"/>
        <n v="96534"/>
        <n v="396022.52"/>
        <n v="27056.918399999984"/>
        <n v="127116.00000000001"/>
        <n v="222735"/>
        <n v="35488.080000000009"/>
        <n v="272192.571"/>
        <n v="9812.2459999999992"/>
        <n v="271835.90700000001"/>
        <n v="158604.01999999999"/>
        <n v="116789.792472"/>
        <n v="31488.100000000002"/>
        <n v="34143.199999999997"/>
        <n v="62630.532859999999"/>
        <n v="732160"/>
        <n v="78223.199999999997"/>
        <n v="7612"/>
        <n v="21912"/>
        <n v="28406.400000000001"/>
        <n v="823320"/>
        <n v="51264"/>
        <n v="156600"/>
        <n v="5015604"/>
        <n v="2314200"/>
        <n v="518000"/>
        <n v="40595.919999999998"/>
      </sharedItems>
    </cacheField>
    <cacheField name="Gross Annual Electricity Savings (kWh)" numFmtId="167">
      <sharedItems containsSemiMixedTypes="0" containsString="0" containsNumber="1" minValue="-352843.45" maxValue="7676571.1525842296"/>
    </cacheField>
    <cacheField name="Net Annual Electricity Savings (kWh) 9" numFmtId="167">
      <sharedItems containsSemiMixedTypes="0" containsString="0" containsNumber="1" minValue="-124526.26599999997" maxValue="5448960"/>
    </cacheField>
    <cacheField name="Gross Annual Water Savings (m3)" numFmtId="167">
      <sharedItems containsSemiMixedTypes="0" containsString="0" containsNumber="1" minValue="0" maxValue="35165.504000000001"/>
    </cacheField>
    <cacheField name="Net Annual Water Savings (m3) 9" numFmtId="167">
      <sharedItems containsSemiMixedTypes="0" containsString="0" containsNumber="1" minValue="0" maxValue="13039.592000000001"/>
    </cacheField>
    <cacheField name="Gross Participant Equipment Costs ($)" numFmtId="167">
      <sharedItems containsSemiMixedTypes="0" containsString="0" containsNumber="1" minValue="4695.3599999999988" maxValue="43670880" count="47">
        <n v="28462720"/>
        <n v="21398005.237591662"/>
        <n v="27027053"/>
        <n v="43670880"/>
        <n v="9675000"/>
        <n v="750000"/>
        <n v="651875"/>
        <n v="6276276"/>
        <n v="273924"/>
        <n v="2135727"/>
        <n v="3266876"/>
        <n v="950176"/>
        <n v="93732"/>
        <n v="145712"/>
        <n v="210000"/>
        <n v="238830"/>
        <n v="10327"/>
        <n v="423744.6"/>
        <n v="24533"/>
        <n v="242742.48"/>
        <n v="15590.68"/>
        <n v="296662"/>
        <n v="668837"/>
        <n v="171900"/>
        <n v="517465"/>
        <n v="393390"/>
        <n v="235204"/>
        <n v="2757973.5000000005"/>
        <n v="41592"/>
        <n v="745257.35"/>
        <n v="99471.84"/>
        <n v="355710"/>
        <n v="60501"/>
        <n v="22800"/>
        <n v="305099"/>
        <n v="1609400"/>
        <n v="42680"/>
        <n v="13200"/>
        <n v="50952"/>
        <n v="85503"/>
        <n v="2011500"/>
        <n v="128280"/>
        <n v="325170"/>
        <n v="3493294.72"/>
        <n v="8380400"/>
        <n v="840000"/>
        <n v="4695.3599999999988"/>
      </sharedItems>
    </cacheField>
    <cacheField name="Net Participant Equipment Costs ($) 9" numFmtId="167">
      <sharedItems containsSemiMixedTypes="0" containsString="0" containsNumber="1" minValue="4695.3599999999988" maxValue="41487336"/>
    </cacheField>
    <cacheField name="Gross Cumulative Gas Savings (m3)" numFmtId="167">
      <sharedItems containsSemiMixedTypes="0" containsString="0" containsNumber="1" minValue="60400.899999999994" maxValue="1766650325"/>
    </cacheField>
    <cacheField name="Net Cumulative Gas Savings (m3) 9" numFmtId="167">
      <sharedItems containsSemiMixedTypes="0" containsString="0" containsNumber="1" minValue="57380.854999999989" maxValue="772198954.97465026"/>
    </cacheField>
    <cacheField name="Incentive Costs - Measure Level ($)" numFmtId="167">
      <sharedItems containsSemiMixedTypes="0" containsString="0" containsNumber="1" minValue="3144.9071810089022" maxValue="26140935.463906955" count="47">
        <n v="2499000"/>
        <n v="10944600"/>
        <n v="13464000"/>
        <n v="26140935.463906955"/>
        <n v="2467125"/>
        <n v="318750"/>
        <n v="461766.44030351442"/>
        <n v="2145611.5800000005"/>
        <n v="95023.243514377013"/>
        <n v="855432.45618210884"/>
        <n v="2383542.12"/>
        <n v="755820.00000000012"/>
        <n v="206397.00000000003"/>
        <n v="111469.68000000001"/>
        <n v="211650"/>
        <n v="144753.29999999999"/>
        <n v="18847.305"/>
        <n v="302315.76"/>
        <n v="10964.745000000001"/>
        <n v="164851.21935"/>
        <n v="15751.870199999998"/>
        <n v="139607.91200213536"/>
        <n v="386819.05382128776"/>
        <n v="103789.36437023649"/>
        <n v="172284.16872979631"/>
        <n v="191698.01964471085"/>
        <n v="32455.178348948728"/>
        <n v="656747.2336119971"/>
        <n v="9535.5219931931642"/>
        <n v="223917.42733088034"/>
        <n v="86435.913455321948"/>
        <n v="136739.56669149143"/>
        <n v="10673.624371909"/>
        <n v="3430.8078338278929"/>
        <n v="23501.033661721067"/>
        <n v="185835.42433234421"/>
        <n v="4193.2095746785362"/>
        <n v="3144.9071810089022"/>
        <n v="9434.7215430267042"/>
        <n v="11321.665851632046"/>
        <n v="214425.4896142433"/>
        <n v="11436.026112759642"/>
        <n v="42885.097922848661"/>
        <n v="6103628"/>
        <n v="8665208.8049999997"/>
        <n v="818010.92999999993"/>
        <n v="28535.26499999999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x v="0"/>
    <x v="0"/>
    <s v="Custom/Prescriptive"/>
    <n v="88"/>
    <n v="0.15310000000000001"/>
    <n v="1"/>
    <n v="10"/>
    <n v="690279.65"/>
    <n v="7720"/>
    <n v="399.608"/>
    <n v="323440"/>
    <n v="28397.727272727272"/>
    <x v="0"/>
    <x v="0"/>
    <n v="679360"/>
    <n v="104010.016"/>
    <n v="35165.504000000001"/>
    <n v="5383.8386624000004"/>
    <x v="0"/>
    <n v="4357642.432"/>
    <n v="607446092"/>
    <n v="92999996.685200006"/>
    <x v="0"/>
  </r>
  <r>
    <x v="1"/>
    <x v="1"/>
    <s v="Commercial Custom"/>
    <n v="877"/>
    <n v="0.5081494825034496"/>
    <n v="1"/>
    <n v="18.394454416865521"/>
    <n v="38261.785632839223"/>
    <n v="7804.1528369680254"/>
    <n v="0.23449865068803077"/>
    <n v="24399.093771484222"/>
    <n v="12479.589509692132"/>
    <x v="1"/>
    <x v="1"/>
    <n v="6844242.0380209582"/>
    <n v="3477898.0497487052"/>
    <n v="205.65531665340299"/>
    <n v="104.50364273150979"/>
    <x v="1"/>
    <n v="10873385.288088307"/>
    <n v="617236697.1082108"/>
    <n v="313648508.21767581"/>
    <x v="1"/>
  </r>
  <r>
    <x v="2"/>
    <x v="2"/>
    <s v="Industrial Custom"/>
    <n v="511"/>
    <n v="0.43709779125342774"/>
    <n v="1"/>
    <n v="15.328434190301957"/>
    <n v="225544.32485322896"/>
    <n v="15022.644134215714"/>
    <n v="18.171787697441392"/>
    <n v="52890.514677103718"/>
    <n v="26348.336594911936"/>
    <x v="2"/>
    <x v="2"/>
    <n v="7676571.1525842296"/>
    <n v="3355412.2951943469"/>
    <n v="9285.783513392551"/>
    <n v="4058.795463761378"/>
    <x v="2"/>
    <n v="11813465.170389328"/>
    <n v="1766650325"/>
    <n v="772198954.97465026"/>
    <x v="2"/>
  </r>
  <r>
    <x v="3"/>
    <x v="3"/>
    <s v="Whole Home Custom"/>
    <n v="14850"/>
    <n v="0.95"/>
    <n v="1"/>
    <n v="25"/>
    <n v="550"/>
    <n v="359"/>
    <m/>
    <n v="2940.8"/>
    <n v="1760.3323544718489"/>
    <x v="3"/>
    <x v="3"/>
    <n v="5331150"/>
    <n v="5064592.5"/>
    <n v="0"/>
    <n v="0"/>
    <x v="3"/>
    <n v="41487336"/>
    <n v="204187500"/>
    <n v="193978125"/>
    <x v="3"/>
  </r>
  <r>
    <x v="3"/>
    <x v="4"/>
    <s v="Adaptive Thermostat"/>
    <n v="32250"/>
    <n v="0.96"/>
    <n v="1"/>
    <n v="15"/>
    <n v="185"/>
    <n v="176"/>
    <n v="0"/>
    <n v="300"/>
    <n v="76.5"/>
    <x v="4"/>
    <x v="4"/>
    <n v="5676000"/>
    <n v="5448960"/>
    <n v="0"/>
    <n v="0"/>
    <x v="4"/>
    <n v="9288000"/>
    <n v="89493750"/>
    <n v="85914000"/>
    <x v="4"/>
  </r>
  <r>
    <x v="3"/>
    <x v="4"/>
    <s v="Adaptive Thermostat (Moderate Income)"/>
    <n v="2500"/>
    <n v="0.96"/>
    <n v="1"/>
    <n v="15"/>
    <n v="185"/>
    <n v="176"/>
    <n v="0"/>
    <n v="300"/>
    <n v="127.5"/>
    <x v="5"/>
    <x v="5"/>
    <n v="440000"/>
    <n v="422400"/>
    <n v="0"/>
    <n v="0"/>
    <x v="5"/>
    <n v="720000"/>
    <n v="6937500"/>
    <n v="6660000"/>
    <x v="5"/>
  </r>
  <r>
    <x v="3"/>
    <x v="5"/>
    <s v="Residential Air Sealing"/>
    <n v="1043"/>
    <n v="0.95"/>
    <n v="1"/>
    <n v="15"/>
    <n v="196"/>
    <n v="245"/>
    <n v="0"/>
    <n v="625"/>
    <n v="442.72908945686908"/>
    <x v="6"/>
    <x v="6"/>
    <n v="255535"/>
    <n v="242758.25"/>
    <n v="0"/>
    <n v="0"/>
    <x v="6"/>
    <n v="619281.25"/>
    <n v="3066420"/>
    <n v="2913099"/>
    <x v="6"/>
  </r>
  <r>
    <x v="3"/>
    <x v="5"/>
    <s v="Residential Attic"/>
    <n v="3756"/>
    <n v="0.66999999999999993"/>
    <n v="1"/>
    <n v="30"/>
    <n v="178"/>
    <n v="172"/>
    <n v="0"/>
    <n v="1671"/>
    <n v="571.24908945686911"/>
    <x v="7"/>
    <x v="7"/>
    <n v="646032"/>
    <n v="432841.43999999994"/>
    <n v="0"/>
    <n v="0"/>
    <x v="7"/>
    <n v="4205104.92"/>
    <n v="20057040"/>
    <n v="13438216.799999999"/>
    <x v="7"/>
  </r>
  <r>
    <x v="3"/>
    <x v="5"/>
    <s v="Residential Wall"/>
    <n v="84"/>
    <n v="0.66999999999999993"/>
    <n v="1"/>
    <n v="30"/>
    <n v="293"/>
    <n v="109"/>
    <n v="0"/>
    <n v="3261"/>
    <n v="1131.2290894568691"/>
    <x v="8"/>
    <x v="8"/>
    <n v="9156"/>
    <n v="6134.5199999999995"/>
    <n v="0"/>
    <n v="0"/>
    <x v="8"/>
    <n v="183529.08"/>
    <n v="738360"/>
    <n v="494701.19999999995"/>
    <x v="8"/>
  </r>
  <r>
    <x v="3"/>
    <x v="5"/>
    <s v="Residential Basement (includes crawl space, slab on grade, and pony wall)"/>
    <n v="1377"/>
    <n v="0.66999999999999993"/>
    <n v="1"/>
    <n v="30"/>
    <n v="182"/>
    <n v="208"/>
    <n v="0"/>
    <n v="1551"/>
    <n v="621.22908945686913"/>
    <x v="9"/>
    <x v="9"/>
    <n v="286416"/>
    <n v="191898.71999999997"/>
    <n v="0"/>
    <n v="0"/>
    <x v="9"/>
    <n v="1430937.0899999999"/>
    <n v="7518420"/>
    <n v="5037341.3999999994"/>
    <x v="9"/>
  </r>
  <r>
    <x v="1"/>
    <x v="6"/>
    <s v="Air Curtains"/>
    <n v="319"/>
    <n v="0.95000000000000007"/>
    <n v="1"/>
    <n v="15"/>
    <n v="5266.3730407523508"/>
    <n v="199.00940438871473"/>
    <n v="0"/>
    <n v="10240.990595611285"/>
    <n v="7471.9188714733546"/>
    <x v="10"/>
    <x v="10"/>
    <n v="63484"/>
    <n v="60309.8"/>
    <n v="0"/>
    <n v="0"/>
    <x v="10"/>
    <n v="3103532.2"/>
    <n v="25199595"/>
    <n v="23939615.25"/>
    <x v="10"/>
  </r>
  <r>
    <x v="1"/>
    <x v="6"/>
    <s v="Dock Doors Seals"/>
    <n v="572"/>
    <n v="0.95"/>
    <n v="1"/>
    <n v="10"/>
    <n v="2475.6153846153848"/>
    <n v="628.10314685314688"/>
    <n v="0"/>
    <n v="1661.1468531468531"/>
    <n v="1321.3636363636365"/>
    <x v="11"/>
    <x v="11"/>
    <n v="359275"/>
    <n v="341311.25"/>
    <n v="0"/>
    <n v="0"/>
    <x v="11"/>
    <n v="902667.2"/>
    <n v="14160520"/>
    <n v="13452494"/>
    <x v="11"/>
  </r>
  <r>
    <x v="1"/>
    <x v="6"/>
    <s v="DCKV"/>
    <n v="15"/>
    <n v="0.95"/>
    <n v="1"/>
    <n v="15"/>
    <n v="5515.8"/>
    <n v="7296.2"/>
    <n v="0"/>
    <n v="6248.8"/>
    <n v="13759.800000000001"/>
    <x v="12"/>
    <x v="12"/>
    <n v="109443"/>
    <n v="103970.84999999999"/>
    <n v="0"/>
    <n v="0"/>
    <x v="12"/>
    <n v="89045.4"/>
    <n v="1241055"/>
    <n v="1179002.25"/>
    <x v="12"/>
  </r>
  <r>
    <x v="1"/>
    <x v="6"/>
    <s v="Ozone Laundry"/>
    <n v="8"/>
    <n v="0.92"/>
    <n v="1"/>
    <n v="15"/>
    <n v="7421.1324750000003"/>
    <n v="412.71572250000003"/>
    <n v="403.02755999999994"/>
    <n v="18214"/>
    <n v="13933.710000000001"/>
    <x v="13"/>
    <x v="13"/>
    <n v="3301.7257800000002"/>
    <n v="3037.5877176000004"/>
    <n v="3224.2204799999995"/>
    <n v="2966.2828415999998"/>
    <x v="13"/>
    <n v="134055.04000000001"/>
    <n v="890535.897"/>
    <n v="819293.02523999999"/>
    <x v="13"/>
  </r>
  <r>
    <x v="1"/>
    <x v="6"/>
    <s v="DCV"/>
    <n v="200"/>
    <n v="0.95"/>
    <n v="1"/>
    <n v="15"/>
    <n v="1039.4160000000002"/>
    <n v="0"/>
    <n v="0"/>
    <n v="1050"/>
    <n v="1058.25"/>
    <x v="14"/>
    <x v="14"/>
    <n v="0"/>
    <n v="0"/>
    <n v="0"/>
    <n v="0"/>
    <x v="14"/>
    <n v="199500"/>
    <n v="3118248.0000000005"/>
    <n v="2962335.6"/>
    <x v="14"/>
  </r>
  <r>
    <x v="1"/>
    <x v="6"/>
    <s v="Destratification Fan"/>
    <n v="30"/>
    <n v="0.9"/>
    <n v="1"/>
    <n v="15"/>
    <n v="2326.6666666666665"/>
    <n v="0"/>
    <n v="0"/>
    <n v="7961"/>
    <n v="4825.1099999999997"/>
    <x v="15"/>
    <x v="15"/>
    <n v="0"/>
    <n v="0"/>
    <n v="0"/>
    <n v="0"/>
    <x v="15"/>
    <n v="214947"/>
    <n v="1047000"/>
    <n v="942300"/>
    <x v="15"/>
  </r>
  <r>
    <x v="1"/>
    <x v="6"/>
    <s v="ERV Improved Effectiveness"/>
    <n v="21"/>
    <n v="0.94999999999999984"/>
    <n v="1"/>
    <n v="13.999999999999998"/>
    <n v="205.44523809523812"/>
    <n v="0"/>
    <n v="0"/>
    <n v="491.76190476190476"/>
    <n v="897.49071428571426"/>
    <x v="16"/>
    <x v="16"/>
    <n v="0"/>
    <n v="0"/>
    <n v="0"/>
    <n v="0"/>
    <x v="16"/>
    <n v="9810.6499999999978"/>
    <n v="60400.899999999994"/>
    <n v="57380.854999999989"/>
    <x v="16"/>
  </r>
  <r>
    <x v="1"/>
    <x v="6"/>
    <s v="ERV"/>
    <n v="140"/>
    <n v="0.95"/>
    <n v="1"/>
    <n v="14"/>
    <n v="925.71349999999995"/>
    <n v="-813.42128571428566"/>
    <n v="0"/>
    <n v="3026.7471428571425"/>
    <n v="2159.398285714286"/>
    <x v="17"/>
    <x v="17"/>
    <n v="-113878.98"/>
    <n v="-108185.03099999999"/>
    <n v="0"/>
    <n v="0"/>
    <x v="17"/>
    <n v="402557.36999999994"/>
    <n v="1814398.46"/>
    <n v="1723678.5369999998"/>
    <x v="17"/>
  </r>
  <r>
    <x v="1"/>
    <x v="6"/>
    <s v="HRV Improved Effectiveness"/>
    <n v="5"/>
    <n v="0.94999999999999984"/>
    <n v="1"/>
    <n v="14"/>
    <n v="1849.85"/>
    <n v="0"/>
    <n v="0"/>
    <n v="4906.6000000000004"/>
    <n v="2192.9490000000001"/>
    <x v="18"/>
    <x v="18"/>
    <n v="0"/>
    <n v="0"/>
    <n v="0"/>
    <n v="0"/>
    <x v="18"/>
    <n v="23306.349999999995"/>
    <n v="129489.5"/>
    <n v="123015.02499999998"/>
    <x v="18"/>
  </r>
  <r>
    <x v="1"/>
    <x v="6"/>
    <s v="HRV"/>
    <n v="49"/>
    <n v="0.94999999999999984"/>
    <n v="1"/>
    <n v="13.999999999999996"/>
    <n v="1136.3375510204082"/>
    <n v="-1162.7393877551019"/>
    <n v="0"/>
    <n v="4953.9281632653065"/>
    <n v="3364.3105989795918"/>
    <x v="19"/>
    <x v="19"/>
    <n v="-56974.229999999996"/>
    <n v="-54125.518499999984"/>
    <n v="0"/>
    <n v="0"/>
    <x v="19"/>
    <n v="230605.35599999997"/>
    <n v="779527.55999999982"/>
    <n v="740551.18199999968"/>
    <x v="19"/>
  </r>
  <r>
    <x v="1"/>
    <x v="6"/>
    <s v="MUA"/>
    <n v="5"/>
    <n v="0.94999999999999984"/>
    <n v="1"/>
    <n v="20"/>
    <n v="3892.4840000000004"/>
    <n v="2633.0720000000001"/>
    <n v="0"/>
    <n v="3118.136"/>
    <n v="3150.3740399999997"/>
    <x v="20"/>
    <x v="20"/>
    <n v="13165.36"/>
    <n v="12507.091999999999"/>
    <n v="0"/>
    <n v="0"/>
    <x v="20"/>
    <n v="14811.145999999997"/>
    <n v="389248.4"/>
    <n v="369785.98"/>
    <x v="20"/>
  </r>
  <r>
    <x v="1"/>
    <x v="7"/>
    <s v="Air Curtains"/>
    <n v="55"/>
    <n v="0.5"/>
    <n v="1"/>
    <n v="15"/>
    <n v="3510.3272727272729"/>
    <n v="-230.23636363636365"/>
    <n v="0"/>
    <n v="5393.8545454545456"/>
    <n v="2538.3256727660973"/>
    <x v="21"/>
    <x v="21"/>
    <n v="-12663"/>
    <n v="-6331.5"/>
    <n v="0"/>
    <n v="0"/>
    <x v="21"/>
    <n v="148331"/>
    <n v="2896020"/>
    <n v="1448010"/>
    <x v="21"/>
  </r>
  <r>
    <x v="1"/>
    <x v="7"/>
    <s v="DCKV"/>
    <n v="80"/>
    <n v="0.62"/>
    <n v="1"/>
    <n v="15"/>
    <n v="7984.3249999999998"/>
    <n v="11738.575000000001"/>
    <n v="0"/>
    <n v="8360.4624999999996"/>
    <n v="4835.2381727660968"/>
    <x v="22"/>
    <x v="22"/>
    <n v="939086"/>
    <n v="582233.31999999995"/>
    <n v="0"/>
    <n v="0"/>
    <x v="22"/>
    <n v="414678.94"/>
    <n v="9581190"/>
    <n v="5940337.7999999998"/>
    <x v="22"/>
  </r>
  <r>
    <x v="1"/>
    <x v="7"/>
    <s v="DCV"/>
    <n v="170"/>
    <n v="7.999999999999996E-2"/>
    <n v="1"/>
    <n v="15.000000000000002"/>
    <n v="1989.479294117647"/>
    <n v="0"/>
    <n v="0"/>
    <n v="1011.1764705882352"/>
    <n v="610.52567276609705"/>
    <x v="23"/>
    <x v="23"/>
    <n v="0"/>
    <n v="0"/>
    <n v="0"/>
    <n v="0"/>
    <x v="23"/>
    <n v="13751.999999999993"/>
    <n v="5073172.2"/>
    <n v="405853.77599999984"/>
    <x v="23"/>
  </r>
  <r>
    <x v="1"/>
    <x v="7"/>
    <s v="Destratification Fan"/>
    <n v="65"/>
    <n v="0.90000000000000013"/>
    <n v="1"/>
    <n v="15"/>
    <n v="2172.9230769230771"/>
    <n v="0"/>
    <n v="0"/>
    <n v="7961"/>
    <n v="2650.5256727660972"/>
    <x v="24"/>
    <x v="24"/>
    <n v="0"/>
    <n v="0"/>
    <n v="0"/>
    <n v="0"/>
    <x v="24"/>
    <n v="465718.50000000006"/>
    <n v="2118600"/>
    <n v="1906740.0000000002"/>
    <x v="24"/>
  </r>
  <r>
    <x v="1"/>
    <x v="7"/>
    <s v="Dock Doors Seals"/>
    <n v="215"/>
    <n v="0.5"/>
    <n v="1"/>
    <n v="10"/>
    <n v="2071.953488372093"/>
    <n v="523.79069767441865"/>
    <n v="0"/>
    <n v="1829.7209302325582"/>
    <n v="891.61869602191098"/>
    <x v="25"/>
    <x v="25"/>
    <n v="112615.00000000001"/>
    <n v="56307.500000000007"/>
    <n v="0"/>
    <n v="0"/>
    <x v="25"/>
    <n v="196695"/>
    <n v="4454700"/>
    <n v="2227350"/>
    <x v="25"/>
  </r>
  <r>
    <x v="1"/>
    <x v="7"/>
    <s v="ERV Improved Effectiveness"/>
    <n v="90"/>
    <n v="0.30000000000000004"/>
    <n v="1"/>
    <n v="13.999999999999998"/>
    <n v="1314.3733333333334"/>
    <n v="0"/>
    <n v="0"/>
    <n v="2613.3777777777777"/>
    <n v="360.613092766097"/>
    <x v="26"/>
    <x v="26"/>
    <n v="0"/>
    <n v="0"/>
    <n v="0"/>
    <n v="0"/>
    <x v="26"/>
    <n v="70561.200000000012"/>
    <n v="1656110.4"/>
    <n v="496833.12000000005"/>
    <x v="26"/>
  </r>
  <r>
    <x v="1"/>
    <x v="7"/>
    <s v="ERV"/>
    <n v="590"/>
    <n v="0.30000000000000004"/>
    <n v="1"/>
    <n v="14"/>
    <n v="1537.8111355932203"/>
    <n v="-598.03974576271185"/>
    <n v="0"/>
    <n v="4674.531355932204"/>
    <n v="1113.1309044271138"/>
    <x v="27"/>
    <x v="27"/>
    <n v="-352843.45"/>
    <n v="-105853.03500000002"/>
    <n v="0"/>
    <n v="0"/>
    <x v="27"/>
    <n v="827392.05000000028"/>
    <n v="12702319.979999999"/>
    <n v="3810695.9939999999"/>
    <x v="27"/>
  </r>
  <r>
    <x v="1"/>
    <x v="7"/>
    <s v="HRV Improved Effectiveness"/>
    <n v="12"/>
    <n v="0.94999999999999984"/>
    <n v="1"/>
    <n v="14.000000000000002"/>
    <n v="860.72333333333336"/>
    <n v="0"/>
    <n v="0"/>
    <n v="3466"/>
    <n v="794.62683276609698"/>
    <x v="28"/>
    <x v="28"/>
    <n v="0"/>
    <n v="0"/>
    <n v="0"/>
    <n v="0"/>
    <x v="28"/>
    <n v="39512.399999999994"/>
    <n v="144601.52000000002"/>
    <n v="137371.44399999999"/>
    <x v="28"/>
  </r>
  <r>
    <x v="1"/>
    <x v="7"/>
    <s v="HRV"/>
    <n v="210"/>
    <n v="0.94999999999999984"/>
    <n v="1"/>
    <n v="13.999999999999996"/>
    <n v="1362.5860000000002"/>
    <n v="-624.19180952380952"/>
    <n v="0"/>
    <n v="3548.8445238095237"/>
    <n v="1066.2734634803826"/>
    <x v="29"/>
    <x v="29"/>
    <n v="-131080.28"/>
    <n v="-124526.26599999997"/>
    <n v="0"/>
    <n v="0"/>
    <x v="29"/>
    <n v="707994.48249999981"/>
    <n v="4006002.84"/>
    <n v="3805702.6979999994"/>
    <x v="29"/>
  </r>
  <r>
    <x v="1"/>
    <x v="7"/>
    <s v="MUA"/>
    <n v="20"/>
    <n v="0.95000000000000007"/>
    <n v="1"/>
    <n v="20.000000000000004"/>
    <n v="8347.5799999999981"/>
    <n v="7333.08"/>
    <n v="0"/>
    <n v="4973.5919999999996"/>
    <n v="4321.7956727660976"/>
    <x v="30"/>
    <x v="30"/>
    <n v="146661.6"/>
    <n v="139328.52000000002"/>
    <n v="0"/>
    <n v="0"/>
    <x v="30"/>
    <n v="94498.248000000007"/>
    <n v="3339032"/>
    <n v="3172080.4000000004"/>
    <x v="30"/>
  </r>
  <r>
    <x v="1"/>
    <x v="7"/>
    <s v="Ozone Laundry"/>
    <n v="15"/>
    <n v="0.91999999999999993"/>
    <n v="1"/>
    <n v="14.999999999999998"/>
    <n v="8463.02844"/>
    <n v="470.65928400000001"/>
    <n v="459.6109439999999"/>
    <n v="23714"/>
    <n v="9115.9711127660958"/>
    <x v="31"/>
    <x v="31"/>
    <n v="7059.8892599999999"/>
    <n v="6495.098119199999"/>
    <n v="6894.1641599999984"/>
    <n v="6342.6310271999982"/>
    <x v="31"/>
    <n v="327253.19999999995"/>
    <n v="1904181.399"/>
    <n v="1751846.8870799998"/>
    <x v="31"/>
  </r>
  <r>
    <x v="1"/>
    <x v="8"/>
    <s v="Condensing Unit Heater"/>
    <n v="28"/>
    <n v="1"/>
    <n v="1"/>
    <n v="18.000000000000004"/>
    <n v="1124.575"/>
    <n v="-413"/>
    <n v="0"/>
    <n v="2160.75"/>
    <n v="381.2008704253214"/>
    <x v="32"/>
    <x v="32"/>
    <n v="-11564"/>
    <n v="-11564"/>
    <n v="0"/>
    <n v="0"/>
    <x v="32"/>
    <n v="60501"/>
    <n v="566785.80000000016"/>
    <n v="566785.80000000016"/>
    <x v="32"/>
  </r>
  <r>
    <x v="1"/>
    <x v="8"/>
    <s v="Commercial Under-Fired Broiler"/>
    <n v="12"/>
    <n v="0.79999999999999993"/>
    <n v="1"/>
    <n v="12"/>
    <n v="3556.5833333333335"/>
    <n v="0"/>
    <n v="0"/>
    <n v="1900"/>
    <n v="285.90065281899109"/>
    <x v="33"/>
    <x v="33"/>
    <n v="0"/>
    <n v="0"/>
    <n v="0"/>
    <n v="0"/>
    <x v="33"/>
    <n v="18240"/>
    <n v="512148"/>
    <n v="409718.39999999997"/>
    <x v="33"/>
  </r>
  <r>
    <x v="1"/>
    <x v="8"/>
    <s v="Condensing Tankless Water Heater"/>
    <n v="137"/>
    <n v="0.98000000000000009"/>
    <n v="1"/>
    <n v="20"/>
    <n v="466.48691240875911"/>
    <n v="0"/>
    <n v="0"/>
    <n v="2227"/>
    <n v="171.54039169139466"/>
    <x v="34"/>
    <x v="34"/>
    <n v="0"/>
    <n v="0"/>
    <n v="0"/>
    <n v="0"/>
    <x v="34"/>
    <n v="298997.02"/>
    <n v="1278174.1399999999"/>
    <n v="1252610.6572"/>
    <x v="34"/>
  </r>
  <r>
    <x v="1"/>
    <x v="8"/>
    <s v="Commercial Energy Star Fryer"/>
    <n v="650"/>
    <n v="0.8"/>
    <n v="1"/>
    <n v="12"/>
    <n v="1408"/>
    <n v="0"/>
    <n v="0"/>
    <n v="2476"/>
    <n v="285.90065281899109"/>
    <x v="35"/>
    <x v="35"/>
    <n v="0"/>
    <n v="0"/>
    <n v="0"/>
    <n v="0"/>
    <x v="35"/>
    <n v="1287520"/>
    <n v="10982400"/>
    <n v="8785920"/>
    <x v="35"/>
  </r>
  <r>
    <x v="1"/>
    <x v="8"/>
    <s v="Commercial Energy Star Steam Cooker"/>
    <n v="11"/>
    <n v="0.8"/>
    <n v="1"/>
    <n v="12"/>
    <n v="8889"/>
    <n v="0"/>
    <n v="340.142"/>
    <n v="3880"/>
    <n v="381.20087042532145"/>
    <x v="36"/>
    <x v="36"/>
    <n v="0"/>
    <n v="0"/>
    <n v="3741.5619999999999"/>
    <n v="2993.2496000000001"/>
    <x v="36"/>
    <n v="34144"/>
    <n v="1173348"/>
    <n v="938678.4"/>
    <x v="36"/>
  </r>
  <r>
    <x v="1"/>
    <x v="8"/>
    <s v="Commercial Energy Star Convention Oven"/>
    <n v="11"/>
    <n v="0.8"/>
    <n v="1"/>
    <n v="12"/>
    <n v="865"/>
    <n v="40.1"/>
    <n v="0"/>
    <n v="1200"/>
    <n v="285.90065281899109"/>
    <x v="37"/>
    <x v="37"/>
    <n v="441.1"/>
    <n v="352.88000000000005"/>
    <n v="0"/>
    <n v="0"/>
    <x v="37"/>
    <n v="10560"/>
    <n v="114180"/>
    <n v="91344"/>
    <x v="37"/>
  </r>
  <r>
    <x v="1"/>
    <x v="8"/>
    <s v="Commercial Energy Star Rack Oven - Single Rack"/>
    <n v="33"/>
    <n v="0.8"/>
    <n v="1"/>
    <n v="12"/>
    <n v="830"/>
    <n v="749"/>
    <n v="0"/>
    <n v="1544"/>
    <n v="285.90065281899103"/>
    <x v="38"/>
    <x v="38"/>
    <n v="24717"/>
    <n v="19773.600000000002"/>
    <n v="0"/>
    <n v="0"/>
    <x v="38"/>
    <n v="40761.600000000006"/>
    <n v="328680"/>
    <n v="262944"/>
    <x v="38"/>
  </r>
  <r>
    <x v="1"/>
    <x v="8"/>
    <s v="Commercial Energy Star Rack Oven - Double Rack"/>
    <n v="33"/>
    <n v="0.8"/>
    <n v="1"/>
    <n v="12"/>
    <n v="1076"/>
    <n v="1685"/>
    <n v="0"/>
    <n v="2591"/>
    <n v="343.08078338278926"/>
    <x v="39"/>
    <x v="39"/>
    <n v="55605"/>
    <n v="44484"/>
    <n v="0"/>
    <n v="0"/>
    <x v="39"/>
    <n v="68402.400000000009"/>
    <n v="426096"/>
    <n v="340876.80000000005"/>
    <x v="39"/>
  </r>
  <r>
    <x v="1"/>
    <x v="8"/>
    <s v="Combi-Ovens"/>
    <n v="450"/>
    <n v="0.8"/>
    <n v="1"/>
    <n v="12"/>
    <n v="2287"/>
    <n v="0"/>
    <n v="0"/>
    <n v="4470"/>
    <n v="476.50108803165176"/>
    <x v="40"/>
    <x v="40"/>
    <n v="0"/>
    <n v="0"/>
    <n v="0"/>
    <n v="0"/>
    <x v="40"/>
    <n v="1609200"/>
    <n v="12349800"/>
    <n v="9879840"/>
    <x v="40"/>
  </r>
  <r>
    <x v="1"/>
    <x v="8"/>
    <s v="Commercial Griddles"/>
    <n v="120"/>
    <n v="0.8"/>
    <n v="1"/>
    <n v="12"/>
    <n v="534"/>
    <n v="0"/>
    <n v="0"/>
    <n v="1069"/>
    <n v="95.300217606330349"/>
    <x v="41"/>
    <x v="41"/>
    <n v="0"/>
    <n v="0"/>
    <n v="0"/>
    <n v="0"/>
    <x v="41"/>
    <n v="102624"/>
    <n v="768960"/>
    <n v="615168"/>
    <x v="41"/>
  </r>
  <r>
    <x v="1"/>
    <x v="8"/>
    <s v="Conveyor Ovens"/>
    <n v="90"/>
    <n v="0.8"/>
    <n v="1"/>
    <n v="12"/>
    <n v="2175"/>
    <n v="0"/>
    <n v="0"/>
    <n v="3613"/>
    <n v="476.50108803165182"/>
    <x v="42"/>
    <x v="42"/>
    <n v="0"/>
    <n v="0"/>
    <n v="0"/>
    <n v="0"/>
    <x v="42"/>
    <n v="260136"/>
    <n v="2349000"/>
    <n v="1879200"/>
    <x v="42"/>
  </r>
  <r>
    <x v="4"/>
    <x v="9"/>
    <s v="Custom/Prescriptive"/>
    <n v="162"/>
    <n v="1"/>
    <n v="1"/>
    <n v="19.703659220305273"/>
    <n v="30960.518518518518"/>
    <n v="2811.2246913580248"/>
    <n v="0"/>
    <n v="21563.547654320988"/>
    <n v="37676.716049382718"/>
    <x v="43"/>
    <x v="43"/>
    <n v="455418.4"/>
    <n v="455418.4"/>
    <n v="0"/>
    <n v="0"/>
    <x v="43"/>
    <n v="3493294.72"/>
    <n v="98825752"/>
    <n v="98825752"/>
    <x v="43"/>
  </r>
  <r>
    <x v="4"/>
    <x v="10"/>
    <s v="HWP - Insulation"/>
    <n v="2800"/>
    <n v="1"/>
    <n v="1"/>
    <n v="25"/>
    <n v="826.5"/>
    <n v="140"/>
    <n v="0"/>
    <n v="2993"/>
    <n v="3094.7174303571428"/>
    <x v="44"/>
    <x v="44"/>
    <n v="392000"/>
    <n v="392000"/>
    <n v="0"/>
    <n v="0"/>
    <x v="44"/>
    <n v="8380400"/>
    <n v="57855000"/>
    <n v="57855000"/>
    <x v="44"/>
  </r>
  <r>
    <x v="4"/>
    <x v="10"/>
    <s v="Adaptive Thermostat - Prescriptive"/>
    <n v="2800"/>
    <n v="1"/>
    <n v="1"/>
    <n v="15"/>
    <n v="185"/>
    <n v="176"/>
    <n v="0"/>
    <n v="300"/>
    <n v="292.14676071428568"/>
    <x v="45"/>
    <x v="45"/>
    <n v="492800"/>
    <n v="492800"/>
    <n v="0"/>
    <n v="0"/>
    <x v="45"/>
    <n v="840000"/>
    <n v="7770000"/>
    <n v="7770000"/>
    <x v="45"/>
  </r>
  <r>
    <x v="4"/>
    <x v="10"/>
    <s v="Basic Measures - Prescriptive"/>
    <n v="2374"/>
    <n v="1"/>
    <n v="1"/>
    <n v="11.435296946097045"/>
    <n v="17.100219039595618"/>
    <n v="0"/>
    <n v="5.4926672283066553"/>
    <n v="1.9778264532434704"/>
    <n v="12.019909435551812"/>
    <x v="46"/>
    <x v="46"/>
    <n v="0"/>
    <n v="0"/>
    <n v="13039.592000000001"/>
    <n v="13039.592000000001"/>
    <x v="46"/>
    <n v="4695.3599999999988"/>
    <n v="464226.39999999997"/>
    <n v="464226.39999999997"/>
    <x v="4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2FBAA96-2DEB-6C4D-AEB7-1AB8029982BC}" name="PivotTable1" cacheId="49"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F20" firstHeaderRow="0" firstDataRow="1" firstDataCol="1"/>
  <pivotFields count="23">
    <pivotField axis="axisRow" showAll="0">
      <items count="6">
        <item x="1"/>
        <item x="2"/>
        <item x="0"/>
        <item x="4"/>
        <item x="3"/>
        <item t="default"/>
      </items>
    </pivotField>
    <pivotField axis="axisRow" showAll="0">
      <items count="12">
        <item x="9"/>
        <item x="1"/>
        <item x="0"/>
        <item x="6"/>
        <item x="10"/>
        <item x="2"/>
        <item x="7"/>
        <item x="8"/>
        <item x="5"/>
        <item x="4"/>
        <item x="3"/>
        <item t="default"/>
      </items>
    </pivotField>
    <pivotField showAll="0"/>
    <pivotField dataField="1" numFmtId="3" showAll="0"/>
    <pivotField numFmtId="168" showAll="0"/>
    <pivotField numFmtId="9" showAll="0"/>
    <pivotField numFmtId="166" showAll="0"/>
    <pivotField numFmtId="167" showAll="0"/>
    <pivotField numFmtId="167" showAll="0"/>
    <pivotField showAll="0"/>
    <pivotField numFmtId="167" showAll="0"/>
    <pivotField numFmtId="167" showAll="0"/>
    <pivotField dataField="1" numFmtId="167" showAll="0">
      <items count="48">
        <item x="16"/>
        <item x="18"/>
        <item x="37"/>
        <item x="28"/>
        <item x="20"/>
        <item x="8"/>
        <item x="38"/>
        <item x="32"/>
        <item x="39"/>
        <item x="46"/>
        <item x="33"/>
        <item x="19"/>
        <item x="13"/>
        <item x="34"/>
        <item x="41"/>
        <item x="15"/>
        <item x="12"/>
        <item x="36"/>
        <item x="26"/>
        <item x="31"/>
        <item x="17"/>
        <item x="24"/>
        <item x="30"/>
        <item x="21"/>
        <item x="42"/>
        <item x="6"/>
        <item x="14"/>
        <item x="9"/>
        <item x="29"/>
        <item x="23"/>
        <item x="25"/>
        <item x="5"/>
        <item x="45"/>
        <item x="22"/>
        <item x="7"/>
        <item x="27"/>
        <item x="35"/>
        <item x="40"/>
        <item x="11"/>
        <item x="10"/>
        <item x="44"/>
        <item x="43"/>
        <item x="4"/>
        <item x="3"/>
        <item x="1"/>
        <item x="0"/>
        <item x="2"/>
        <item t="default"/>
      </items>
    </pivotField>
    <pivotField dataField="1" numFmtId="167" showAll="0">
      <items count="48">
        <item x="16"/>
        <item x="37"/>
        <item x="18"/>
        <item x="28"/>
        <item x="8"/>
        <item x="20"/>
        <item x="38"/>
        <item x="23"/>
        <item x="39"/>
        <item x="32"/>
        <item x="33"/>
        <item x="26"/>
        <item x="46"/>
        <item x="41"/>
        <item x="19"/>
        <item x="13"/>
        <item x="34"/>
        <item x="15"/>
        <item x="36"/>
        <item x="12"/>
        <item x="21"/>
        <item x="31"/>
        <item x="17"/>
        <item x="24"/>
        <item x="42"/>
        <item x="30"/>
        <item x="9"/>
        <item x="6"/>
        <item x="14"/>
        <item x="25"/>
        <item x="29"/>
        <item x="27"/>
        <item x="22"/>
        <item x="5"/>
        <item x="7"/>
        <item x="45"/>
        <item x="35"/>
        <item x="40"/>
        <item x="11"/>
        <item x="10"/>
        <item x="44"/>
        <item x="43"/>
        <item x="4"/>
        <item x="3"/>
        <item x="0"/>
        <item x="1"/>
        <item x="2"/>
        <item t="default"/>
      </items>
    </pivotField>
    <pivotField numFmtId="167" showAll="0"/>
    <pivotField numFmtId="167" showAll="0"/>
    <pivotField numFmtId="167" showAll="0"/>
    <pivotField numFmtId="167" showAll="0"/>
    <pivotField dataField="1" numFmtId="167" showAll="0">
      <items count="48">
        <item x="46"/>
        <item x="16"/>
        <item x="37"/>
        <item x="20"/>
        <item x="33"/>
        <item x="18"/>
        <item x="28"/>
        <item x="36"/>
        <item x="38"/>
        <item x="32"/>
        <item x="39"/>
        <item x="12"/>
        <item x="30"/>
        <item x="41"/>
        <item x="13"/>
        <item x="23"/>
        <item x="14"/>
        <item x="26"/>
        <item x="15"/>
        <item x="19"/>
        <item x="8"/>
        <item x="21"/>
        <item x="34"/>
        <item x="42"/>
        <item x="31"/>
        <item x="25"/>
        <item x="17"/>
        <item x="24"/>
        <item x="6"/>
        <item x="22"/>
        <item x="29"/>
        <item x="5"/>
        <item x="45"/>
        <item x="11"/>
        <item x="35"/>
        <item x="40"/>
        <item x="9"/>
        <item x="27"/>
        <item x="10"/>
        <item x="43"/>
        <item x="7"/>
        <item x="44"/>
        <item x="4"/>
        <item x="1"/>
        <item x="2"/>
        <item x="0"/>
        <item x="3"/>
        <item t="default"/>
      </items>
    </pivotField>
    <pivotField numFmtId="167" showAll="0"/>
    <pivotField numFmtId="167" showAll="0"/>
    <pivotField numFmtId="167" showAll="0"/>
    <pivotField dataField="1" numFmtId="167" showAll="0">
      <items count="48">
        <item x="37"/>
        <item x="33"/>
        <item x="36"/>
        <item x="38"/>
        <item x="28"/>
        <item x="32"/>
        <item x="18"/>
        <item x="39"/>
        <item x="41"/>
        <item x="20"/>
        <item x="16"/>
        <item x="34"/>
        <item x="46"/>
        <item x="26"/>
        <item x="42"/>
        <item x="30"/>
        <item x="8"/>
        <item x="23"/>
        <item x="13"/>
        <item x="31"/>
        <item x="21"/>
        <item x="15"/>
        <item x="19"/>
        <item x="24"/>
        <item x="35"/>
        <item x="25"/>
        <item x="12"/>
        <item x="14"/>
        <item x="40"/>
        <item x="29"/>
        <item x="17"/>
        <item x="5"/>
        <item x="22"/>
        <item x="6"/>
        <item x="27"/>
        <item x="11"/>
        <item x="45"/>
        <item x="9"/>
        <item x="7"/>
        <item x="10"/>
        <item x="4"/>
        <item x="0"/>
        <item x="43"/>
        <item x="44"/>
        <item x="1"/>
        <item x="2"/>
        <item x="3"/>
        <item t="default"/>
      </items>
    </pivotField>
  </pivotFields>
  <rowFields count="2">
    <field x="0"/>
    <field x="1"/>
  </rowFields>
  <rowItems count="17">
    <i>
      <x/>
    </i>
    <i r="1">
      <x v="1"/>
    </i>
    <i r="1">
      <x v="3"/>
    </i>
    <i r="1">
      <x v="6"/>
    </i>
    <i r="1">
      <x v="7"/>
    </i>
    <i>
      <x v="1"/>
    </i>
    <i r="1">
      <x v="5"/>
    </i>
    <i>
      <x v="2"/>
    </i>
    <i r="1">
      <x v="2"/>
    </i>
    <i>
      <x v="3"/>
    </i>
    <i r="1">
      <x/>
    </i>
    <i r="1">
      <x v="4"/>
    </i>
    <i>
      <x v="4"/>
    </i>
    <i r="1">
      <x v="8"/>
    </i>
    <i r="1">
      <x v="9"/>
    </i>
    <i r="1">
      <x v="10"/>
    </i>
    <i t="grand">
      <x/>
    </i>
  </rowItems>
  <colFields count="1">
    <field x="-2"/>
  </colFields>
  <colItems count="5">
    <i>
      <x/>
    </i>
    <i i="1">
      <x v="1"/>
    </i>
    <i i="2">
      <x v="2"/>
    </i>
    <i i="3">
      <x v="3"/>
    </i>
    <i i="4">
      <x v="4"/>
    </i>
  </colItems>
  <dataFields count="5">
    <dataField name="Sum of Incentive Costs - Measure Level ($)" fld="22" baseField="0" baseItem="0"/>
    <dataField name="Sum of Gross Participant Equipment Costs ($)" fld="18" baseField="0" baseItem="0"/>
    <dataField name="Sum of Gross Annual Gas Savings (m3)" fld="12" baseField="0" baseItem="0"/>
    <dataField name="Sum of Net Annual Gas Savings (m3)" fld="13" baseField="0" baseItem="0"/>
    <dataField name="Sum of Number of Projects / Number of Units 4 5" fld="3" baseField="0" baseItem="0"/>
  </dataFields>
  <formats count="4">
    <format dxfId="3">
      <pivotArea collapsedLevelsAreSubtotals="1" fieldPosition="0">
        <references count="2">
          <reference field="0" count="1" selected="0">
            <x v="0"/>
          </reference>
          <reference field="1" count="1">
            <x v="3"/>
          </reference>
        </references>
      </pivotArea>
    </format>
    <format dxfId="2">
      <pivotArea dataOnly="0" labelOnly="1" fieldPosition="0">
        <references count="2">
          <reference field="0" count="1" selected="0">
            <x v="0"/>
          </reference>
          <reference field="1" count="1">
            <x v="3"/>
          </reference>
        </references>
      </pivotArea>
    </format>
    <format dxfId="1">
      <pivotArea collapsedLevelsAreSubtotals="1" fieldPosition="0">
        <references count="2">
          <reference field="0" count="1" selected="0">
            <x v="0"/>
          </reference>
          <reference field="1" count="1">
            <x v="3"/>
          </reference>
        </references>
      </pivotArea>
    </format>
    <format dxfId="0">
      <pivotArea dataOnly="0" labelOnly="1" fieldPosition="0">
        <references count="2">
          <reference field="0" count="1" selected="0">
            <x v="0"/>
          </reference>
          <reference field="1" count="1">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3" Type="http://schemas.openxmlformats.org/officeDocument/2006/relationships/hyperlink" Target="https://ma-eeac.org/wp-content/uploads/2016-2018-Term-Report-Tables-Statewide-Gas.xlsx" TargetMode="External"/><Relationship Id="rId2" Type="http://schemas.openxmlformats.org/officeDocument/2006/relationships/hyperlink" Target="https://ma-eeac.org/wp-content/uploads/Statewide-2019-PYR-Data-Tables-Gas.xlsx" TargetMode="External"/><Relationship Id="rId1" Type="http://schemas.openxmlformats.org/officeDocument/2006/relationships/hyperlink" Target="https://ma-eeac.org/wp-content/uploads/2020-PYR-Data-Tables-Statewide-Gas-Final.xlsx"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exchangerates.org.uk/CAD-USD-spot-exchange-rates-history-2018.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7E3E3-E873-6442-9197-E423436DA467}">
  <sheetPr>
    <tabColor theme="9"/>
  </sheetPr>
  <dimension ref="A1:Q34"/>
  <sheetViews>
    <sheetView tabSelected="1" workbookViewId="0">
      <selection activeCell="D23" sqref="D23"/>
    </sheetView>
  </sheetViews>
  <sheetFormatPr baseColWidth="10" defaultRowHeight="16" x14ac:dyDescent="0.2"/>
  <cols>
    <col min="1" max="1" width="23.1640625" customWidth="1"/>
    <col min="2" max="2" width="17.33203125" customWidth="1"/>
    <col min="3" max="3" width="14.83203125" customWidth="1"/>
    <col min="4" max="4" width="13.6640625" customWidth="1"/>
    <col min="5" max="5" width="14" bestFit="1" customWidth="1"/>
    <col min="6" max="6" width="11.5" bestFit="1" customWidth="1"/>
    <col min="7" max="8" width="12.83203125" customWidth="1"/>
    <col min="9" max="9" width="14.83203125" customWidth="1"/>
    <col min="10" max="11" width="12.83203125" customWidth="1"/>
    <col min="13" max="14" width="11.5" bestFit="1" customWidth="1"/>
    <col min="15" max="15" width="13" bestFit="1" customWidth="1"/>
  </cols>
  <sheetData>
    <row r="1" spans="1:17" ht="24" x14ac:dyDescent="0.3">
      <c r="A1" s="6" t="s">
        <v>420</v>
      </c>
    </row>
    <row r="2" spans="1:17" x14ac:dyDescent="0.2">
      <c r="A2" s="32" t="s">
        <v>150</v>
      </c>
    </row>
    <row r="3" spans="1:17" ht="19" x14ac:dyDescent="0.25">
      <c r="A3" s="12" t="s">
        <v>137</v>
      </c>
      <c r="C3" s="9"/>
    </row>
    <row r="4" spans="1:17" x14ac:dyDescent="0.2">
      <c r="A4" s="36" t="s">
        <v>135</v>
      </c>
      <c r="B4" s="37"/>
      <c r="C4" s="37"/>
      <c r="D4" s="38"/>
      <c r="E4" s="20"/>
      <c r="F4" s="36" t="s">
        <v>140</v>
      </c>
      <c r="G4" s="37"/>
      <c r="H4" s="37"/>
      <c r="I4" s="37"/>
      <c r="J4" s="37"/>
      <c r="K4" s="37"/>
      <c r="L4" s="38"/>
      <c r="M4" s="36" t="s">
        <v>141</v>
      </c>
      <c r="N4" s="37"/>
      <c r="O4" s="37"/>
      <c r="P4" s="37"/>
      <c r="Q4" s="38"/>
    </row>
    <row r="5" spans="1:17" s="25" customFormat="1" ht="51" x14ac:dyDescent="0.2">
      <c r="A5" s="141" t="s">
        <v>58</v>
      </c>
      <c r="B5" s="35" t="str">
        <f>'FULL Savings'!B5</f>
        <v>Net Annual Natural Gas Savings (m3)</v>
      </c>
      <c r="C5" s="35" t="s">
        <v>131</v>
      </c>
      <c r="D5" s="39" t="s">
        <v>126</v>
      </c>
      <c r="E5" s="145" t="s">
        <v>132</v>
      </c>
      <c r="F5" s="40" t="s">
        <v>133</v>
      </c>
      <c r="G5" s="35" t="s">
        <v>134</v>
      </c>
      <c r="H5" s="35" t="s">
        <v>143</v>
      </c>
      <c r="I5" s="35" t="s">
        <v>145</v>
      </c>
      <c r="J5" s="35" t="s">
        <v>144</v>
      </c>
      <c r="K5" s="35" t="s">
        <v>146</v>
      </c>
      <c r="L5" s="39" t="s">
        <v>139</v>
      </c>
      <c r="M5" s="40" t="s">
        <v>133</v>
      </c>
      <c r="N5" s="35" t="s">
        <v>134</v>
      </c>
      <c r="O5" s="35" t="s">
        <v>138</v>
      </c>
      <c r="P5" s="35" t="s">
        <v>142</v>
      </c>
      <c r="Q5" s="39" t="s">
        <v>148</v>
      </c>
    </row>
    <row r="6" spans="1:17" x14ac:dyDescent="0.2">
      <c r="A6" s="21" t="s">
        <v>2</v>
      </c>
      <c r="B6" s="27">
        <f>'FULL Savings'!J16</f>
        <v>1734187.0548720004</v>
      </c>
      <c r="C6" s="41">
        <f>'FULL Costs'!AW16</f>
        <v>2140029.36</v>
      </c>
      <c r="D6" s="136">
        <f>GEC.7_Summary!G5</f>
        <v>0.34058121541897779</v>
      </c>
      <c r="E6" s="146">
        <v>0.6</v>
      </c>
      <c r="F6" s="44">
        <f>C6*(E6/D6)</f>
        <v>3770077.6140000001</v>
      </c>
      <c r="G6" s="45">
        <f>F6-C6</f>
        <v>1630048.2540000002</v>
      </c>
      <c r="H6" s="46">
        <f>GEC.7_Summary!N5</f>
        <v>3.6340406422765104</v>
      </c>
      <c r="I6" s="47">
        <f>'Potential Study'!$F$41*(H6^4)+'Potential Study'!$F$42*(H6^3)+'Potential Study'!$F$43*(H6^2)+'Potential Study'!$F$44*H6+'Potential Study'!$F$45</f>
        <v>0.66379123040276533</v>
      </c>
      <c r="J6" s="46">
        <v>2.2000000000000002</v>
      </c>
      <c r="K6" s="47">
        <f>'Potential Study'!$F$41*(J6^4)+'Potential Study'!$F$42*(J6^3)+'Potential Study'!$F$43*(J6^2)+'Potential Study'!$F$44*J6+'Potential Study'!$F$45</f>
        <v>0.79021897599999991</v>
      </c>
      <c r="L6" s="48">
        <f>K6-I6</f>
        <v>0.12642774559723458</v>
      </c>
      <c r="M6" s="44">
        <f>F6*(1+L6)</f>
        <v>4246720.0274646217</v>
      </c>
      <c r="N6" s="45">
        <f>M6-C6</f>
        <v>2106690.6674646218</v>
      </c>
      <c r="O6" s="28">
        <f>B6*(1+L6)</f>
        <v>1953436.4146633754</v>
      </c>
      <c r="P6" s="28">
        <f>O6-B6</f>
        <v>219249.359791375</v>
      </c>
      <c r="Q6" s="54">
        <f>M6/O6</f>
        <v>2.1739740262784211</v>
      </c>
    </row>
    <row r="7" spans="1:17" x14ac:dyDescent="0.2">
      <c r="A7" s="22" t="s">
        <v>4</v>
      </c>
      <c r="B7" s="42">
        <f>'FULL Savings'!J18</f>
        <v>2027759.4328599998</v>
      </c>
      <c r="C7" s="43">
        <f>'FULL Costs'!AW18</f>
        <v>520282.00799999997</v>
      </c>
      <c r="D7" s="137">
        <f>GEC.7_Summary!G6</f>
        <v>0.1117663819242828</v>
      </c>
      <c r="E7" s="147">
        <v>0.6</v>
      </c>
      <c r="F7" s="49">
        <f>C7*(E7/D7)</f>
        <v>2793050.9999999995</v>
      </c>
      <c r="G7" s="50">
        <f>F7-C7</f>
        <v>2272768.9919999996</v>
      </c>
      <c r="H7" s="51">
        <f>GEC.7_Summary!N6</f>
        <v>4.8681700150122937</v>
      </c>
      <c r="I7" s="52">
        <f>'Potential Study'!$F$41*(H7^4)+'Potential Study'!$F$42*(H7^3)+'Potential Study'!$F$43*(H7^2)+'Potential Study'!$F$44*H7+'Potential Study'!$F$45</f>
        <v>0.54026123137720716</v>
      </c>
      <c r="J7" s="51">
        <v>2.19</v>
      </c>
      <c r="K7" s="52">
        <f>'Potential Study'!$F$41*(J7^4)+'Potential Study'!$F$42*(J7^3)+'Potential Study'!$F$43*(J7^2)+'Potential Study'!$F$44*J7+'Potential Study'!$F$45</f>
        <v>0.79099794549159996</v>
      </c>
      <c r="L7" s="53">
        <f>K7-I7</f>
        <v>0.2507367141143928</v>
      </c>
      <c r="M7" s="49">
        <f>F7*(1+L7)</f>
        <v>3493371.4300939185</v>
      </c>
      <c r="N7" s="50">
        <f>M7-C7</f>
        <v>2973089.4220939185</v>
      </c>
      <c r="O7" s="55">
        <f>B7*(1+L7)</f>
        <v>2536193.1700697807</v>
      </c>
      <c r="P7" s="55">
        <f>O7-B7</f>
        <v>508433.73720978084</v>
      </c>
      <c r="Q7" s="56">
        <f>M7/O7</f>
        <v>1.3774074748406495</v>
      </c>
    </row>
    <row r="8" spans="1:17" x14ac:dyDescent="0.2">
      <c r="A8" s="140"/>
      <c r="B8" s="37"/>
      <c r="C8" s="37"/>
    </row>
    <row r="9" spans="1:17" x14ac:dyDescent="0.2">
      <c r="A9" s="36" t="s">
        <v>136</v>
      </c>
      <c r="B9" s="37"/>
      <c r="C9" s="37"/>
      <c r="D9" s="139"/>
      <c r="E9" s="38"/>
      <c r="F9" s="36"/>
      <c r="G9" s="37"/>
      <c r="H9" s="37"/>
      <c r="I9" s="37"/>
      <c r="J9" s="37"/>
      <c r="K9" s="37"/>
      <c r="L9" s="38"/>
      <c r="M9" s="36"/>
      <c r="N9" s="37"/>
      <c r="O9" s="37"/>
      <c r="P9" s="37"/>
      <c r="Q9" s="38"/>
    </row>
    <row r="10" spans="1:17" s="25" customFormat="1" ht="51" x14ac:dyDescent="0.2">
      <c r="A10" s="141" t="s">
        <v>58</v>
      </c>
      <c r="B10" s="35" t="str">
        <f>B5</f>
        <v>Net Annual Natural Gas Savings (m3)</v>
      </c>
      <c r="C10" s="35" t="s">
        <v>131</v>
      </c>
      <c r="D10" s="142" t="s">
        <v>126</v>
      </c>
      <c r="E10" s="39" t="s">
        <v>132</v>
      </c>
      <c r="F10" s="40" t="s">
        <v>133</v>
      </c>
      <c r="G10" s="35" t="s">
        <v>134</v>
      </c>
      <c r="H10" s="35" t="s">
        <v>143</v>
      </c>
      <c r="I10" s="35" t="s">
        <v>145</v>
      </c>
      <c r="J10" s="35" t="s">
        <v>144</v>
      </c>
      <c r="K10" s="35" t="s">
        <v>146</v>
      </c>
      <c r="L10" s="39" t="s">
        <v>139</v>
      </c>
      <c r="M10" s="40" t="s">
        <v>133</v>
      </c>
      <c r="N10" s="35" t="s">
        <v>134</v>
      </c>
      <c r="O10" s="35" t="s">
        <v>138</v>
      </c>
      <c r="P10" s="35" t="s">
        <v>142</v>
      </c>
      <c r="Q10" s="39" t="s">
        <v>148</v>
      </c>
    </row>
    <row r="11" spans="1:17" x14ac:dyDescent="0.2">
      <c r="A11" s="21" t="s">
        <v>2</v>
      </c>
      <c r="B11" s="27">
        <f>B6*$D$32</f>
        <v>634712.92220053787</v>
      </c>
      <c r="C11" s="41">
        <f>C6*$D$32</f>
        <v>783251.31355613912</v>
      </c>
      <c r="D11" s="136">
        <f>D6</f>
        <v>0.34058121541897779</v>
      </c>
      <c r="E11" s="143">
        <v>0.6</v>
      </c>
      <c r="F11" s="44">
        <f>C11*(E11/D11)</f>
        <v>1379849.4070072456</v>
      </c>
      <c r="G11" s="45">
        <f>F11-C11</f>
        <v>596598.09345110646</v>
      </c>
      <c r="H11" s="46">
        <f>H6</f>
        <v>3.6340406422765104</v>
      </c>
      <c r="I11" s="47">
        <f>'Potential Study'!$F$41*(H11^4)+'Potential Study'!$F$42*(H11^3)+'Potential Study'!$F$43*(H11^2)+'Potential Study'!$F$44*H11+'Potential Study'!$F$45</f>
        <v>0.66379123040276533</v>
      </c>
      <c r="J11" s="46">
        <v>2.2000000000000002</v>
      </c>
      <c r="K11" s="47">
        <f>'Potential Study'!$F$41*(J11^4)+'Potential Study'!$F$42*(J11^3)+'Potential Study'!$F$43*(J11^2)+'Potential Study'!$F$44*J11+'Potential Study'!$F$45</f>
        <v>0.79021897599999991</v>
      </c>
      <c r="L11" s="48">
        <f>K11-I11</f>
        <v>0.12642774559723458</v>
      </c>
      <c r="M11" s="44">
        <f>F11*(1+L11)</f>
        <v>1554300.6567988528</v>
      </c>
      <c r="N11" s="45">
        <f>M11-C11</f>
        <v>771049.34324271372</v>
      </c>
      <c r="O11" s="28">
        <f>B11*(1+L11)</f>
        <v>714958.24605578487</v>
      </c>
      <c r="P11" s="28">
        <f>O11-B11</f>
        <v>80245.323855246999</v>
      </c>
      <c r="Q11" s="54">
        <f>M11/O11</f>
        <v>2.1739740262784211</v>
      </c>
    </row>
    <row r="12" spans="1:17" x14ac:dyDescent="0.2">
      <c r="A12" s="22" t="s">
        <v>4</v>
      </c>
      <c r="B12" s="42">
        <f>B7*$D$32</f>
        <v>742160.49043525581</v>
      </c>
      <c r="C12" s="43">
        <f>C7*$D$32</f>
        <v>190423.35297008528</v>
      </c>
      <c r="D12" s="137">
        <f>D7</f>
        <v>0.1117663819242828</v>
      </c>
      <c r="E12" s="144">
        <v>0.6</v>
      </c>
      <c r="F12" s="49">
        <f>C12*(E12/D12)</f>
        <v>1022257.4070569236</v>
      </c>
      <c r="G12" s="50">
        <f>F12-C12</f>
        <v>831834.05408683838</v>
      </c>
      <c r="H12" s="51">
        <f>H7</f>
        <v>4.8681700150122937</v>
      </c>
      <c r="I12" s="52">
        <f>'Potential Study'!$F$41*(H12^4)+'Potential Study'!$F$42*(H12^3)+'Potential Study'!$F$43*(H12^2)+'Potential Study'!$F$44*H12+'Potential Study'!$F$45</f>
        <v>0.54026123137720716</v>
      </c>
      <c r="J12" s="51">
        <v>2.19</v>
      </c>
      <c r="K12" s="52">
        <f>'Potential Study'!$F$41*(J12^4)+'Potential Study'!$F$42*(J12^3)+'Potential Study'!$F$43*(J12^2)+'Potential Study'!$F$44*J12+'Potential Study'!$F$45</f>
        <v>0.79099794549159996</v>
      </c>
      <c r="L12" s="53">
        <f>K12-I12</f>
        <v>0.2507367141143928</v>
      </c>
      <c r="M12" s="49">
        <f>F12*(1+L12)</f>
        <v>1278574.8702814758</v>
      </c>
      <c r="N12" s="50">
        <f>M12-C12</f>
        <v>1088151.5173113905</v>
      </c>
      <c r="O12" s="55">
        <f>B12*(1+L12)</f>
        <v>928247.37315251806</v>
      </c>
      <c r="P12" s="55">
        <f>O12-B12</f>
        <v>186086.88271726226</v>
      </c>
      <c r="Q12" s="56">
        <f>M12/O12</f>
        <v>1.3774074748406493</v>
      </c>
    </row>
    <row r="15" spans="1:17" x14ac:dyDescent="0.2">
      <c r="A15" s="1" t="s">
        <v>149</v>
      </c>
    </row>
    <row r="16" spans="1:17" x14ac:dyDescent="0.2">
      <c r="A16" s="33">
        <f>'Potential Study'!H68/'EGI - Savings %'!F5-1</f>
        <v>1.0446811640394666</v>
      </c>
      <c r="B16" t="s">
        <v>147</v>
      </c>
    </row>
    <row r="17" spans="1:17" ht="19" x14ac:dyDescent="0.25">
      <c r="A17" s="12" t="s">
        <v>135</v>
      </c>
    </row>
    <row r="18" spans="1:17" ht="34" x14ac:dyDescent="0.2">
      <c r="A18" s="156" t="s">
        <v>58</v>
      </c>
      <c r="B18" s="157" t="str">
        <f>B10</f>
        <v>Net Annual Natural Gas Savings (m3)</v>
      </c>
      <c r="C18" s="158" t="s">
        <v>131</v>
      </c>
      <c r="D18" s="34"/>
      <c r="E18" s="34"/>
      <c r="F18" s="159" t="s">
        <v>133</v>
      </c>
      <c r="G18" s="157" t="s">
        <v>134</v>
      </c>
      <c r="H18" s="157" t="s">
        <v>138</v>
      </c>
      <c r="I18" s="160" t="s">
        <v>282</v>
      </c>
      <c r="J18" s="25"/>
      <c r="K18" s="25"/>
    </row>
    <row r="19" spans="1:17" x14ac:dyDescent="0.2">
      <c r="A19" s="21" t="s">
        <v>2</v>
      </c>
      <c r="B19" s="27">
        <f>B6</f>
        <v>1734187.0548720004</v>
      </c>
      <c r="C19" s="154">
        <f>C6</f>
        <v>2140029.36</v>
      </c>
      <c r="D19" s="16"/>
      <c r="F19" s="44">
        <f>Q6*H19</f>
        <v>7708606.6843126537</v>
      </c>
      <c r="G19" s="45">
        <f>F19-C19</f>
        <v>5568577.3243126534</v>
      </c>
      <c r="H19" s="27">
        <f>B19*(1+$A$16)</f>
        <v>3545859.6060178559</v>
      </c>
      <c r="I19" s="284">
        <f>H19-B19</f>
        <v>1811672.5511458556</v>
      </c>
      <c r="J19" s="8"/>
      <c r="K19" s="8"/>
      <c r="Q19" s="14"/>
    </row>
    <row r="20" spans="1:17" x14ac:dyDescent="0.2">
      <c r="A20" s="22" t="s">
        <v>4</v>
      </c>
      <c r="B20" s="42">
        <f>B7</f>
        <v>2027759.4328599998</v>
      </c>
      <c r="C20" s="155">
        <f>C7</f>
        <v>520282.00799999997</v>
      </c>
      <c r="D20" s="16"/>
      <c r="F20" s="49">
        <f>Q7*H20</f>
        <v>5710898.769901596</v>
      </c>
      <c r="G20" s="50">
        <f>F20-C20</f>
        <v>5190616.7619015956</v>
      </c>
      <c r="H20" s="42">
        <f>B20*(1+$A$16)</f>
        <v>4146121.5175721929</v>
      </c>
      <c r="I20" s="285">
        <f>H20-B20</f>
        <v>2118362.0847121933</v>
      </c>
      <c r="J20" s="8"/>
      <c r="K20" s="8"/>
      <c r="Q20" s="14"/>
    </row>
    <row r="22" spans="1:17" ht="19" x14ac:dyDescent="0.25">
      <c r="A22" s="12" t="s">
        <v>136</v>
      </c>
    </row>
    <row r="23" spans="1:17" ht="34" x14ac:dyDescent="0.2">
      <c r="A23" s="156" t="s">
        <v>58</v>
      </c>
      <c r="B23" s="157" t="str">
        <f>B18</f>
        <v>Net Annual Natural Gas Savings (m3)</v>
      </c>
      <c r="C23" s="158" t="s">
        <v>131</v>
      </c>
      <c r="D23" s="34"/>
      <c r="E23" s="34"/>
      <c r="F23" s="159" t="s">
        <v>133</v>
      </c>
      <c r="G23" s="157" t="s">
        <v>134</v>
      </c>
      <c r="H23" s="157" t="s">
        <v>138</v>
      </c>
      <c r="I23" s="160" t="s">
        <v>282</v>
      </c>
      <c r="J23" s="25"/>
      <c r="K23" s="25"/>
    </row>
    <row r="24" spans="1:17" x14ac:dyDescent="0.2">
      <c r="A24" s="21" t="s">
        <v>2</v>
      </c>
      <c r="B24" s="27">
        <f>B19*$D$32</f>
        <v>634712.92220053787</v>
      </c>
      <c r="C24" s="154">
        <f>C11</f>
        <v>783251.31355613912</v>
      </c>
      <c r="D24" s="16"/>
      <c r="F24" s="8">
        <f>Q11*H24</f>
        <v>2821352.0917187422</v>
      </c>
      <c r="G24" s="8">
        <f>F24-C24</f>
        <v>2038100.778162603</v>
      </c>
      <c r="H24" s="5">
        <f>H19*$D$32</f>
        <v>1297785.5565958871</v>
      </c>
      <c r="I24" s="9">
        <f>H24-B24</f>
        <v>663072.63439534919</v>
      </c>
      <c r="J24" s="8"/>
      <c r="K24" s="8"/>
      <c r="Q24" s="14"/>
    </row>
    <row r="25" spans="1:17" x14ac:dyDescent="0.2">
      <c r="A25" s="22" t="s">
        <v>4</v>
      </c>
      <c r="B25" s="42">
        <f>B20*$D$32</f>
        <v>742160.49043525581</v>
      </c>
      <c r="C25" s="155">
        <f>C12</f>
        <v>190423.35297008528</v>
      </c>
      <c r="D25" s="16"/>
      <c r="F25" s="8">
        <f>Q12*H25</f>
        <v>2090190.4650091173</v>
      </c>
      <c r="G25" s="8">
        <f>F25-C25</f>
        <v>1899767.1120390319</v>
      </c>
      <c r="H25" s="5">
        <f>H20*$D$32</f>
        <v>1517481.5754872602</v>
      </c>
      <c r="I25" s="9">
        <f>H25-B25</f>
        <v>775321.08505200443</v>
      </c>
      <c r="J25" s="8"/>
      <c r="K25" s="8"/>
    </row>
    <row r="29" spans="1:17" x14ac:dyDescent="0.2">
      <c r="A29" s="1" t="s">
        <v>127</v>
      </c>
      <c r="B29" s="1"/>
      <c r="C29" s="1" t="s">
        <v>130</v>
      </c>
      <c r="D29" s="31" t="s">
        <v>55</v>
      </c>
    </row>
    <row r="30" spans="1:17" x14ac:dyDescent="0.2">
      <c r="A30" s="20" t="s">
        <v>1</v>
      </c>
      <c r="B30" s="20" t="s">
        <v>128</v>
      </c>
      <c r="C30" s="23">
        <v>15441281</v>
      </c>
      <c r="D30" s="30">
        <f>C30/$C$34</f>
        <v>0.63399973467834148</v>
      </c>
    </row>
    <row r="31" spans="1:17" x14ac:dyDescent="0.2">
      <c r="A31" s="21" t="s">
        <v>2</v>
      </c>
      <c r="B31" s="22"/>
      <c r="C31" s="24"/>
    </row>
    <row r="32" spans="1:17" x14ac:dyDescent="0.2">
      <c r="A32" s="21" t="s">
        <v>3</v>
      </c>
      <c r="B32" s="20" t="s">
        <v>129</v>
      </c>
      <c r="C32" s="23">
        <v>8914062</v>
      </c>
      <c r="D32" s="3">
        <f>C32/$C$34</f>
        <v>0.36600026532165858</v>
      </c>
    </row>
    <row r="33" spans="1:3" x14ac:dyDescent="0.2">
      <c r="A33" s="22" t="s">
        <v>4</v>
      </c>
      <c r="B33" s="22"/>
      <c r="C33" s="24"/>
    </row>
    <row r="34" spans="1:3" x14ac:dyDescent="0.2">
      <c r="C34" s="9">
        <f>SUM(C30:C33)</f>
        <v>24355343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FA680-E3F2-6149-82A0-A9DE77B783B5}">
  <sheetPr>
    <tabColor theme="6"/>
  </sheetPr>
  <dimension ref="A1:I68"/>
  <sheetViews>
    <sheetView topLeftCell="A46" zoomScale="120" zoomScaleNormal="120" workbookViewId="0">
      <selection activeCell="A68" sqref="A68:C68"/>
    </sheetView>
  </sheetViews>
  <sheetFormatPr baseColWidth="10" defaultRowHeight="15" x14ac:dyDescent="0.2"/>
  <cols>
    <col min="1" max="16384" width="10.83203125" style="69"/>
  </cols>
  <sheetData>
    <row r="1" spans="1:1" ht="16" x14ac:dyDescent="0.2">
      <c r="A1" s="276" t="s">
        <v>271</v>
      </c>
    </row>
    <row r="2" spans="1:1" ht="19" x14ac:dyDescent="0.25">
      <c r="A2" s="161" t="s">
        <v>283</v>
      </c>
    </row>
    <row r="3" spans="1:1" x14ac:dyDescent="0.2">
      <c r="A3" s="163" t="s">
        <v>298</v>
      </c>
    </row>
    <row r="4" spans="1:1" x14ac:dyDescent="0.2">
      <c r="A4" s="80"/>
    </row>
    <row r="6" spans="1:1" x14ac:dyDescent="0.2">
      <c r="A6" s="80"/>
    </row>
    <row r="37" spans="1:6" x14ac:dyDescent="0.2">
      <c r="A37" s="69" t="s">
        <v>274</v>
      </c>
    </row>
    <row r="38" spans="1:6" ht="48" x14ac:dyDescent="0.2">
      <c r="A38" s="69" t="s">
        <v>272</v>
      </c>
      <c r="B38" s="59" t="s">
        <v>273</v>
      </c>
      <c r="C38" s="69" t="s">
        <v>281</v>
      </c>
    </row>
    <row r="39" spans="1:6" x14ac:dyDescent="0.2">
      <c r="A39" s="69">
        <v>0</v>
      </c>
      <c r="B39" s="69">
        <v>0.91</v>
      </c>
      <c r="C39" s="69">
        <f>'Potential Study'!$F$41*(A40^4)+'Potential Study'!$F$42*(A40^3)+'Potential Study'!$F$43*(A40^2)+'Potential Study'!$F$44*A40+'Potential Study'!$F$45</f>
        <v>0.86925999999999992</v>
      </c>
    </row>
    <row r="40" spans="1:6" x14ac:dyDescent="0.2">
      <c r="A40" s="69">
        <f>A39+1</f>
        <v>1</v>
      </c>
      <c r="B40" s="69">
        <v>0.87</v>
      </c>
      <c r="C40" s="69">
        <f>'Potential Study'!$F$41*(A41^4)+'Potential Study'!$F$42*(A41^3)+'Potential Study'!$F$43*(A41^2)+'Potential Study'!$F$44*A41+'Potential Study'!$F$45</f>
        <v>0.80545999999999995</v>
      </c>
      <c r="E40" s="69" t="s">
        <v>275</v>
      </c>
    </row>
    <row r="41" spans="1:6" x14ac:dyDescent="0.2">
      <c r="A41" s="69">
        <f>A40+1</f>
        <v>2</v>
      </c>
      <c r="B41" s="69">
        <v>0.8</v>
      </c>
      <c r="C41" s="69">
        <f>'Potential Study'!$F$41*(A42^4)+'Potential Study'!$F$42*(A42^3)+'Potential Study'!$F$43*(A42^2)+'Potential Study'!$F$44*A42+'Potential Study'!$F$45</f>
        <v>0.72285999999999995</v>
      </c>
      <c r="E41" s="69" t="s">
        <v>276</v>
      </c>
      <c r="F41" s="153">
        <v>-4.0000000000000003E-5</v>
      </c>
    </row>
    <row r="42" spans="1:6" x14ac:dyDescent="0.2">
      <c r="A42" s="69">
        <f t="shared" ref="A42:A59" si="0">A41+1</f>
        <v>3</v>
      </c>
      <c r="B42" s="69">
        <v>0.71</v>
      </c>
      <c r="C42" s="69">
        <f>'Potential Study'!$F$41*(A43^4)+'Potential Study'!$F$42*(A43^3)+'Potential Study'!$F$43*(A43^2)+'Potential Study'!$F$44*A43+'Potential Study'!$F$45</f>
        <v>0.62805999999999995</v>
      </c>
      <c r="E42" s="69" t="s">
        <v>277</v>
      </c>
      <c r="F42" s="69">
        <v>1.5E-3</v>
      </c>
    </row>
    <row r="43" spans="1:6" x14ac:dyDescent="0.2">
      <c r="A43" s="69">
        <f t="shared" si="0"/>
        <v>4</v>
      </c>
      <c r="B43" s="69">
        <v>0.63</v>
      </c>
      <c r="C43" s="69">
        <f>'Potential Study'!$F$41*(A44^4)+'Potential Study'!$F$42*(A44^3)+'Potential Study'!$F$43*(A44^2)+'Potential Study'!$F$44*A44+'Potential Study'!$F$45</f>
        <v>0.52669999999999995</v>
      </c>
      <c r="E43" s="69" t="s">
        <v>278</v>
      </c>
      <c r="F43" s="69">
        <v>-1.7399999999999999E-2</v>
      </c>
    </row>
    <row r="44" spans="1:6" x14ac:dyDescent="0.2">
      <c r="A44" s="69">
        <f t="shared" si="0"/>
        <v>5</v>
      </c>
      <c r="B44" s="69">
        <v>0.55000000000000004</v>
      </c>
      <c r="C44" s="69">
        <f>'Potential Study'!$F$41*(A45^4)+'Potential Study'!$F$42*(A45^3)+'Potential Study'!$F$43*(A45^2)+'Potential Study'!$F$44*A45+'Potential Study'!$F$45</f>
        <v>0.42346</v>
      </c>
      <c r="E44" s="69" t="s">
        <v>279</v>
      </c>
      <c r="F44" s="69">
        <v>-2.1499999999999998E-2</v>
      </c>
    </row>
    <row r="45" spans="1:6" x14ac:dyDescent="0.2">
      <c r="A45" s="69">
        <f t="shared" si="0"/>
        <v>6</v>
      </c>
      <c r="B45" s="69">
        <v>0.45</v>
      </c>
      <c r="C45" s="69">
        <f>'Potential Study'!$F$41*(A46^4)+'Potential Study'!$F$42*(A46^3)+'Potential Study'!$F$43*(A46^2)+'Potential Study'!$F$44*A46+'Potential Study'!$F$45</f>
        <v>0.32206000000000001</v>
      </c>
      <c r="E45" s="69" t="s">
        <v>280</v>
      </c>
      <c r="F45" s="69">
        <v>0.90669999999999995</v>
      </c>
    </row>
    <row r="46" spans="1:6" x14ac:dyDescent="0.2">
      <c r="A46" s="69">
        <f t="shared" si="0"/>
        <v>7</v>
      </c>
      <c r="B46" s="69">
        <v>0.35</v>
      </c>
      <c r="C46" s="69">
        <f>'Potential Study'!$F$41*(A47^4)+'Potential Study'!$F$42*(A47^3)+'Potential Study'!$F$43*(A47^2)+'Potential Study'!$F$44*A47+'Potential Study'!$F$45</f>
        <v>0.22526000000000013</v>
      </c>
    </row>
    <row r="47" spans="1:6" x14ac:dyDescent="0.2">
      <c r="A47" s="69">
        <f t="shared" si="0"/>
        <v>8</v>
      </c>
      <c r="B47" s="69">
        <v>0.25</v>
      </c>
      <c r="C47" s="69">
        <f>'Potential Study'!$F$41*(A48^4)+'Potential Study'!$F$42*(A48^3)+'Potential Study'!$F$43*(A48^2)+'Potential Study'!$F$44*A48+'Potential Study'!$F$45</f>
        <v>0.13485999999999987</v>
      </c>
    </row>
    <row r="48" spans="1:6" x14ac:dyDescent="0.2">
      <c r="A48" s="69">
        <f t="shared" si="0"/>
        <v>9</v>
      </c>
      <c r="B48" s="69">
        <v>0.16</v>
      </c>
      <c r="C48" s="69">
        <f>'Potential Study'!$F$41*(A49^4)+'Potential Study'!$F$42*(A49^3)+'Potential Study'!$F$43*(A49^2)+'Potential Study'!$F$44*A49+'Potential Study'!$F$45</f>
        <v>5.1700000000000301E-2</v>
      </c>
    </row>
    <row r="49" spans="1:3" x14ac:dyDescent="0.2">
      <c r="A49" s="69">
        <f t="shared" si="0"/>
        <v>10</v>
      </c>
      <c r="B49" s="69">
        <v>0.1</v>
      </c>
      <c r="C49" s="69">
        <f>'Potential Study'!$F$41*(A50^4)+'Potential Study'!$F$42*(A50^3)+'Potential Study'!$F$43*(A50^2)+'Potential Study'!$F$44*A50+'Potential Study'!$F$45</f>
        <v>-2.4339999999999917E-2</v>
      </c>
    </row>
    <row r="50" spans="1:3" x14ac:dyDescent="0.2">
      <c r="A50" s="69">
        <f t="shared" si="0"/>
        <v>11</v>
      </c>
      <c r="B50" s="69">
        <v>0.05</v>
      </c>
      <c r="C50" s="69">
        <f>'Potential Study'!$F$41*(A51^4)+'Potential Study'!$F$42*(A51^3)+'Potential Study'!$F$43*(A51^2)+'Potential Study'!$F$44*A51+'Potential Study'!$F$45</f>
        <v>-9.4339999999999757E-2</v>
      </c>
    </row>
    <row r="51" spans="1:3" x14ac:dyDescent="0.2">
      <c r="A51" s="69">
        <f t="shared" si="0"/>
        <v>12</v>
      </c>
      <c r="B51" s="69">
        <v>0.04</v>
      </c>
      <c r="C51" s="69">
        <f>'Potential Study'!$F$41*(A52^4)+'Potential Study'!$F$42*(A52^3)+'Potential Study'!$F$43*(A52^2)+'Potential Study'!$F$44*A52+'Potential Study'!$F$45</f>
        <v>-0.16034000000000004</v>
      </c>
    </row>
    <row r="52" spans="1:3" x14ac:dyDescent="0.2">
      <c r="A52" s="69">
        <f t="shared" si="0"/>
        <v>13</v>
      </c>
      <c r="B52" s="69">
        <v>0.03</v>
      </c>
      <c r="C52" s="69">
        <f>'Potential Study'!$F$41*(A53^4)+'Potential Study'!$F$42*(A53^3)+'Potential Study'!$F$43*(A53^2)+'Potential Study'!$F$44*A53+'Potential Study'!$F$45</f>
        <v>-0.22534000000000021</v>
      </c>
    </row>
    <row r="53" spans="1:3" x14ac:dyDescent="0.2">
      <c r="A53" s="69">
        <f t="shared" si="0"/>
        <v>14</v>
      </c>
      <c r="B53" s="69">
        <v>0.02</v>
      </c>
      <c r="C53" s="69">
        <f>'Potential Study'!$F$41*(A54^4)+'Potential Study'!$F$42*(A54^3)+'Potential Study'!$F$43*(A54^2)+'Potential Study'!$F$44*A54+'Potential Study'!$F$45</f>
        <v>-0.29330000000000001</v>
      </c>
    </row>
    <row r="54" spans="1:3" x14ac:dyDescent="0.2">
      <c r="A54" s="69">
        <f t="shared" si="0"/>
        <v>15</v>
      </c>
      <c r="B54" s="69">
        <v>0.01</v>
      </c>
      <c r="C54" s="69">
        <f>'Potential Study'!$F$41*(A55^4)+'Potential Study'!$F$42*(A55^3)+'Potential Study'!$F$43*(A55^2)+'Potential Study'!$F$44*A55+'Potential Study'!$F$45</f>
        <v>-0.36913999999999969</v>
      </c>
    </row>
    <row r="55" spans="1:3" x14ac:dyDescent="0.2">
      <c r="A55" s="69">
        <f t="shared" si="0"/>
        <v>16</v>
      </c>
      <c r="B55" s="69">
        <v>5.0000000000000001E-3</v>
      </c>
      <c r="C55" s="69">
        <f>'Potential Study'!$F$41*(A56^4)+'Potential Study'!$F$42*(A56^3)+'Potential Study'!$F$43*(A56^2)+'Potential Study'!$F$44*A56+'Potential Study'!$F$45</f>
        <v>-0.45873999999999959</v>
      </c>
    </row>
    <row r="56" spans="1:3" x14ac:dyDescent="0.2">
      <c r="A56" s="69">
        <f t="shared" si="0"/>
        <v>17</v>
      </c>
      <c r="B56" s="69">
        <v>5.0000000000000001E-3</v>
      </c>
      <c r="C56" s="69">
        <f>'Potential Study'!$F$41*(A57^4)+'Potential Study'!$F$42*(A57^3)+'Potential Study'!$F$43*(A57^2)+'Potential Study'!$F$44*A57+'Potential Study'!$F$45</f>
        <v>-0.56894000000000078</v>
      </c>
    </row>
    <row r="57" spans="1:3" x14ac:dyDescent="0.2">
      <c r="A57" s="69">
        <f t="shared" si="0"/>
        <v>18</v>
      </c>
      <c r="B57" s="69">
        <v>5.0000000000000001E-3</v>
      </c>
      <c r="C57" s="69">
        <f>'Potential Study'!$F$41*(A58^4)+'Potential Study'!$F$42*(A58^3)+'Potential Study'!$F$43*(A58^2)+'Potential Study'!$F$44*A58+'Potential Study'!$F$45</f>
        <v>-0.70753999999999972</v>
      </c>
    </row>
    <row r="58" spans="1:3" x14ac:dyDescent="0.2">
      <c r="A58" s="69">
        <f t="shared" si="0"/>
        <v>19</v>
      </c>
      <c r="B58" s="69">
        <v>5.0000000000000001E-3</v>
      </c>
      <c r="C58" s="69">
        <f>'Potential Study'!$F$41*(A59^4)+'Potential Study'!$F$42*(A59^3)+'Potential Study'!$F$43*(A59^2)+'Potential Study'!$F$44*A59+'Potential Study'!$F$45</f>
        <v>-0.88329999999999942</v>
      </c>
    </row>
    <row r="59" spans="1:3" x14ac:dyDescent="0.2">
      <c r="A59" s="69">
        <f t="shared" si="0"/>
        <v>20</v>
      </c>
      <c r="B59" s="69">
        <v>5.0000000000000001E-3</v>
      </c>
      <c r="C59" s="69">
        <f>'Potential Study'!$F$41*(A60^4)+'Potential Study'!$F$42*(A60^3)+'Potential Study'!$F$43*(A60^2)+'Potential Study'!$F$44*A60+'Potential Study'!$F$45</f>
        <v>0.90669999999999995</v>
      </c>
    </row>
    <row r="64" spans="1:3" ht="19" x14ac:dyDescent="0.25">
      <c r="A64" s="161" t="s">
        <v>299</v>
      </c>
    </row>
    <row r="65" spans="1:9" x14ac:dyDescent="0.2">
      <c r="A65" s="152" t="s">
        <v>297</v>
      </c>
    </row>
    <row r="66" spans="1:9" x14ac:dyDescent="0.2">
      <c r="A66" s="164"/>
      <c r="B66" s="164"/>
      <c r="C66" s="164"/>
      <c r="D66" s="164"/>
      <c r="E66" s="165" t="s">
        <v>284</v>
      </c>
      <c r="F66" s="164"/>
      <c r="G66" s="164"/>
      <c r="H66" s="164"/>
    </row>
    <row r="67" spans="1:9" ht="48" x14ac:dyDescent="0.2">
      <c r="A67" s="164" t="s">
        <v>290</v>
      </c>
      <c r="B67" s="164" t="s">
        <v>291</v>
      </c>
      <c r="C67" s="164" t="s">
        <v>292</v>
      </c>
      <c r="D67" s="164" t="s">
        <v>293</v>
      </c>
      <c r="E67" s="166" t="s">
        <v>285</v>
      </c>
      <c r="F67" s="166" t="s">
        <v>286</v>
      </c>
      <c r="G67" s="166" t="s">
        <v>287</v>
      </c>
      <c r="H67" s="166" t="s">
        <v>288</v>
      </c>
      <c r="I67" s="166" t="s">
        <v>289</v>
      </c>
    </row>
    <row r="68" spans="1:9" x14ac:dyDescent="0.2">
      <c r="A68" s="69" t="s">
        <v>28</v>
      </c>
      <c r="B68" s="69" t="s">
        <v>294</v>
      </c>
      <c r="C68" s="69" t="s">
        <v>295</v>
      </c>
      <c r="D68" s="69" t="s">
        <v>296</v>
      </c>
      <c r="E68" s="162">
        <v>0.02</v>
      </c>
      <c r="F68" s="162">
        <v>1.9E-2</v>
      </c>
      <c r="G68" s="162">
        <v>0.01</v>
      </c>
      <c r="H68" s="162">
        <v>1.0999999999999999E-2</v>
      </c>
      <c r="I68" s="162">
        <v>1.6E-2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3A0C4-EDA3-0C4D-A88A-41282A85B419}">
  <sheetPr>
    <tabColor theme="6"/>
  </sheetPr>
  <dimension ref="A1:L20"/>
  <sheetViews>
    <sheetView zoomScale="120" zoomScaleNormal="120" workbookViewId="0">
      <selection activeCell="G8" sqref="G8"/>
    </sheetView>
  </sheetViews>
  <sheetFormatPr baseColWidth="10" defaultRowHeight="15" x14ac:dyDescent="0.2"/>
  <cols>
    <col min="1" max="1" width="32.5" style="69" bestFit="1" customWidth="1"/>
    <col min="2" max="2" width="33.83203125" style="69" bestFit="1" customWidth="1"/>
    <col min="3" max="3" width="35.83203125" style="69" bestFit="1" customWidth="1"/>
    <col min="4" max="4" width="29.83203125" style="69" bestFit="1" customWidth="1"/>
    <col min="5" max="5" width="28.5" style="69" bestFit="1" customWidth="1"/>
    <col min="6" max="6" width="39" style="69" bestFit="1" customWidth="1"/>
    <col min="7" max="7" width="10.83203125" style="69"/>
    <col min="8" max="8" width="26" style="69" customWidth="1"/>
    <col min="9" max="10" width="10.83203125" style="69"/>
    <col min="11" max="11" width="28.6640625" style="69" customWidth="1"/>
    <col min="12" max="12" width="18" style="69" customWidth="1"/>
    <col min="13" max="16384" width="10.83203125" style="69"/>
  </cols>
  <sheetData>
    <row r="1" spans="1:12" x14ac:dyDescent="0.2">
      <c r="H1" s="80"/>
    </row>
    <row r="2" spans="1:12" ht="16" x14ac:dyDescent="0.2">
      <c r="I2" s="81"/>
    </row>
    <row r="3" spans="1:12" x14ac:dyDescent="0.2">
      <c r="A3" s="69" t="s">
        <v>151</v>
      </c>
      <c r="B3" s="69" t="s">
        <v>152</v>
      </c>
      <c r="C3" s="69" t="s">
        <v>153</v>
      </c>
      <c r="D3" s="69" t="s">
        <v>154</v>
      </c>
      <c r="E3" s="69" t="s">
        <v>125</v>
      </c>
      <c r="F3" s="69" t="s">
        <v>155</v>
      </c>
      <c r="I3" s="82"/>
      <c r="K3" s="83"/>
    </row>
    <row r="4" spans="1:12" x14ac:dyDescent="0.2">
      <c r="A4" s="84" t="s">
        <v>0</v>
      </c>
      <c r="B4" s="69">
        <v>17931274.367550001</v>
      </c>
      <c r="C4" s="69">
        <v>37958816.687591657</v>
      </c>
      <c r="D4" s="69">
        <v>43174860.93339999</v>
      </c>
      <c r="E4" s="69">
        <v>24355343.751247995</v>
      </c>
      <c r="F4" s="69">
        <v>5338</v>
      </c>
    </row>
    <row r="5" spans="1:12" x14ac:dyDescent="0.2">
      <c r="A5" s="85" t="s">
        <v>1</v>
      </c>
      <c r="B5" s="69">
        <v>10944600</v>
      </c>
      <c r="C5" s="69">
        <v>21398005.237591662</v>
      </c>
      <c r="D5" s="69">
        <v>33555586</v>
      </c>
      <c r="E5" s="69">
        <v>17051253.660999998</v>
      </c>
      <c r="F5" s="69">
        <v>877</v>
      </c>
    </row>
    <row r="6" spans="1:12" s="87" customFormat="1" ht="16" x14ac:dyDescent="0.2">
      <c r="A6" s="86" t="s">
        <v>3</v>
      </c>
      <c r="B6" s="87">
        <v>4326362.9995499998</v>
      </c>
      <c r="C6" s="87">
        <v>5622263.7599999998</v>
      </c>
      <c r="D6" s="87">
        <v>3734120.7098000003</v>
      </c>
      <c r="E6" s="87">
        <v>3542143.6025159997</v>
      </c>
      <c r="F6" s="87">
        <v>1364</v>
      </c>
      <c r="K6" s="88"/>
      <c r="L6" s="89"/>
    </row>
    <row r="7" spans="1:12" x14ac:dyDescent="0.2">
      <c r="A7" s="85" t="s">
        <v>2</v>
      </c>
      <c r="B7" s="69">
        <v>2140029.3599999994</v>
      </c>
      <c r="C7" s="69">
        <v>6283462.6899999995</v>
      </c>
      <c r="D7" s="69">
        <v>3372706.4166000001</v>
      </c>
      <c r="E7" s="69">
        <v>1734187.0548719999</v>
      </c>
      <c r="F7" s="69">
        <v>1522</v>
      </c>
    </row>
    <row r="8" spans="1:12" x14ac:dyDescent="0.2">
      <c r="A8" s="85" t="s">
        <v>4</v>
      </c>
      <c r="B8" s="69">
        <v>520282.00799999997</v>
      </c>
      <c r="C8" s="69">
        <v>4655085</v>
      </c>
      <c r="D8" s="69">
        <v>2512447.807</v>
      </c>
      <c r="E8" s="69">
        <v>2027759.4328600001</v>
      </c>
      <c r="F8" s="69">
        <v>1575</v>
      </c>
    </row>
    <row r="9" spans="1:12" x14ac:dyDescent="0.2">
      <c r="A9" s="84" t="s">
        <v>66</v>
      </c>
      <c r="B9" s="69">
        <v>13464000</v>
      </c>
      <c r="C9" s="69">
        <v>27027053</v>
      </c>
      <c r="D9" s="69">
        <v>115253150</v>
      </c>
      <c r="E9" s="69">
        <v>50376897.299999997</v>
      </c>
      <c r="F9" s="69">
        <v>511</v>
      </c>
    </row>
    <row r="10" spans="1:12" x14ac:dyDescent="0.2">
      <c r="A10" s="85" t="s">
        <v>60</v>
      </c>
      <c r="B10" s="69">
        <v>13464000</v>
      </c>
      <c r="C10" s="69">
        <v>27027053</v>
      </c>
      <c r="D10" s="69">
        <v>115253150</v>
      </c>
      <c r="E10" s="69">
        <v>50376897.299999997</v>
      </c>
      <c r="F10" s="69">
        <v>511</v>
      </c>
    </row>
    <row r="11" spans="1:12" x14ac:dyDescent="0.2">
      <c r="A11" s="84" t="s">
        <v>67</v>
      </c>
      <c r="B11" s="69">
        <v>2499000</v>
      </c>
      <c r="C11" s="69">
        <v>28462720</v>
      </c>
      <c r="D11" s="69">
        <v>60744609.200000003</v>
      </c>
      <c r="E11" s="69">
        <v>9299999.6685200017</v>
      </c>
      <c r="F11" s="69">
        <v>88</v>
      </c>
    </row>
    <row r="12" spans="1:12" x14ac:dyDescent="0.2">
      <c r="A12" s="85" t="s">
        <v>163</v>
      </c>
      <c r="B12" s="69">
        <v>2499000</v>
      </c>
      <c r="C12" s="69">
        <v>28462720</v>
      </c>
      <c r="D12" s="69">
        <v>60744609.200000003</v>
      </c>
      <c r="E12" s="69">
        <v>9299999.6685200017</v>
      </c>
      <c r="F12" s="69">
        <v>88</v>
      </c>
    </row>
    <row r="13" spans="1:12" x14ac:dyDescent="0.2">
      <c r="A13" s="84" t="s">
        <v>64</v>
      </c>
      <c r="B13" s="69">
        <v>15615383</v>
      </c>
      <c r="C13" s="69">
        <v>12718390.08</v>
      </c>
      <c r="D13" s="69">
        <v>7888399.9199999999</v>
      </c>
      <c r="E13" s="69">
        <v>7888399.9199999999</v>
      </c>
      <c r="F13" s="69">
        <v>8136</v>
      </c>
    </row>
    <row r="14" spans="1:12" x14ac:dyDescent="0.2">
      <c r="A14" s="85" t="s">
        <v>65</v>
      </c>
      <c r="B14" s="69">
        <v>6103628</v>
      </c>
      <c r="C14" s="69">
        <v>3493294.72</v>
      </c>
      <c r="D14" s="69">
        <v>5015604</v>
      </c>
      <c r="E14" s="69">
        <v>5015604</v>
      </c>
      <c r="F14" s="69">
        <v>162</v>
      </c>
    </row>
    <row r="15" spans="1:12" x14ac:dyDescent="0.2">
      <c r="A15" s="85" t="s">
        <v>164</v>
      </c>
      <c r="B15" s="69">
        <v>9511755</v>
      </c>
      <c r="C15" s="69">
        <v>9225095.3599999994</v>
      </c>
      <c r="D15" s="69">
        <v>2872795.92</v>
      </c>
      <c r="E15" s="69">
        <v>2872795.92</v>
      </c>
      <c r="F15" s="69">
        <v>7974</v>
      </c>
    </row>
    <row r="16" spans="1:12" x14ac:dyDescent="0.2">
      <c r="A16" s="84" t="s">
        <v>61</v>
      </c>
      <c r="B16" s="69">
        <v>32484644.183906958</v>
      </c>
      <c r="C16" s="69">
        <v>63433682</v>
      </c>
      <c r="D16" s="69">
        <v>15744472</v>
      </c>
      <c r="E16" s="69">
        <v>14757273.58</v>
      </c>
      <c r="F16" s="69">
        <v>55860</v>
      </c>
    </row>
    <row r="17" spans="1:6" x14ac:dyDescent="0.2">
      <c r="A17" s="85" t="s">
        <v>165</v>
      </c>
      <c r="B17" s="69">
        <v>3557833.7200000007</v>
      </c>
      <c r="C17" s="69">
        <v>9337802</v>
      </c>
      <c r="D17" s="69">
        <v>1148222</v>
      </c>
      <c r="E17" s="69">
        <v>826548.58</v>
      </c>
      <c r="F17" s="69">
        <v>6260</v>
      </c>
    </row>
    <row r="18" spans="1:6" x14ac:dyDescent="0.2">
      <c r="A18" s="85" t="s">
        <v>63</v>
      </c>
      <c r="B18" s="69">
        <v>2785875</v>
      </c>
      <c r="C18" s="69">
        <v>10425000</v>
      </c>
      <c r="D18" s="69">
        <v>6428750</v>
      </c>
      <c r="E18" s="69">
        <v>6171600</v>
      </c>
      <c r="F18" s="69">
        <v>34750</v>
      </c>
    </row>
    <row r="19" spans="1:6" x14ac:dyDescent="0.2">
      <c r="A19" s="85" t="s">
        <v>62</v>
      </c>
      <c r="B19" s="69">
        <v>26140935.463906955</v>
      </c>
      <c r="C19" s="69">
        <v>43670880</v>
      </c>
      <c r="D19" s="69">
        <v>8167500</v>
      </c>
      <c r="E19" s="69">
        <v>7759125</v>
      </c>
      <c r="F19" s="69">
        <v>14850</v>
      </c>
    </row>
    <row r="20" spans="1:6" x14ac:dyDescent="0.2">
      <c r="A20" s="84" t="s">
        <v>166</v>
      </c>
      <c r="B20" s="69">
        <v>81994301.551456958</v>
      </c>
      <c r="C20" s="69">
        <v>169600661.76759166</v>
      </c>
      <c r="D20" s="69">
        <v>242805492.05339995</v>
      </c>
      <c r="E20" s="69">
        <v>106677914.21976799</v>
      </c>
      <c r="F20" s="69">
        <v>69933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F71F-2981-9A45-92B7-C2FEEE5B7383}">
  <sheetPr>
    <tabColor theme="6"/>
  </sheetPr>
  <dimension ref="A1:Y52"/>
  <sheetViews>
    <sheetView zoomScaleNormal="100" workbookViewId="0">
      <pane xSplit="3" ySplit="3" topLeftCell="S4" activePane="bottomRight" state="frozen"/>
      <selection activeCell="G8" sqref="G8"/>
      <selection pane="topRight" activeCell="G8" sqref="G8"/>
      <selection pane="bottomLeft" activeCell="G8" sqref="G8"/>
      <selection pane="bottomRight" activeCell="G8" sqref="G8"/>
    </sheetView>
  </sheetViews>
  <sheetFormatPr baseColWidth="10" defaultColWidth="9.1640625" defaultRowHeight="13" x14ac:dyDescent="0.15"/>
  <cols>
    <col min="1" max="1" width="21.5" style="90" bestFit="1" customWidth="1"/>
    <col min="2" max="2" width="30.1640625" style="90" customWidth="1"/>
    <col min="3" max="3" width="41.83203125" style="90" customWidth="1"/>
    <col min="4" max="4" width="18" style="91" customWidth="1"/>
    <col min="5" max="5" width="12.6640625" style="92" customWidth="1"/>
    <col min="6" max="6" width="15.33203125" style="92" customWidth="1"/>
    <col min="7" max="7" width="12.6640625" style="92" customWidth="1"/>
    <col min="8" max="8" width="21.33203125" style="93" customWidth="1"/>
    <col min="9" max="9" width="21.1640625" style="92" customWidth="1"/>
    <col min="10" max="10" width="19.1640625" style="92" customWidth="1"/>
    <col min="11" max="11" width="17.6640625" style="92" customWidth="1"/>
    <col min="12" max="21" width="21.33203125" style="92" customWidth="1"/>
    <col min="22" max="22" width="21.33203125" style="93" customWidth="1"/>
    <col min="23" max="23" width="21.33203125" style="92" customWidth="1"/>
    <col min="24" max="24" width="16.5" style="92" customWidth="1"/>
    <col min="25" max="16384" width="9.1640625" style="92"/>
  </cols>
  <sheetData>
    <row r="1" spans="1:25" x14ac:dyDescent="0.15">
      <c r="B1" s="90" t="s">
        <v>167</v>
      </c>
      <c r="M1" s="296" t="s">
        <v>168</v>
      </c>
      <c r="N1" s="297"/>
      <c r="O1" s="297"/>
      <c r="P1" s="297"/>
      <c r="Q1" s="297"/>
      <c r="R1" s="297"/>
      <c r="S1" s="297"/>
      <c r="T1" s="297"/>
      <c r="U1" s="297"/>
      <c r="V1" s="297"/>
      <c r="W1" s="298"/>
    </row>
    <row r="2" spans="1:25" ht="14" thickBot="1" x14ac:dyDescent="0.2">
      <c r="A2" s="94"/>
      <c r="B2" s="94"/>
      <c r="C2" s="94"/>
      <c r="E2" s="94"/>
      <c r="K2" s="95"/>
      <c r="L2" s="95"/>
      <c r="M2" s="96">
        <f t="shared" ref="M2:W2" si="0">SUBTOTAL(9,M$4:M$50)</f>
        <v>242805492.05339989</v>
      </c>
      <c r="N2" s="96">
        <f t="shared" si="0"/>
        <v>106677914.219768</v>
      </c>
      <c r="O2" s="96">
        <f t="shared" si="0"/>
        <v>30340531.325645186</v>
      </c>
      <c r="P2" s="96">
        <f t="shared" si="0"/>
        <v>21046650.338279855</v>
      </c>
      <c r="Q2" s="96">
        <f t="shared" si="0"/>
        <v>71556.481470045954</v>
      </c>
      <c r="R2" s="96">
        <f t="shared" si="0"/>
        <v>34888.893237692886</v>
      </c>
      <c r="S2" s="96">
        <f t="shared" si="0"/>
        <v>169600661.76759166</v>
      </c>
      <c r="T2" s="96">
        <f t="shared" si="0"/>
        <v>110119382.06297766</v>
      </c>
      <c r="U2" s="96">
        <f t="shared" si="0"/>
        <v>3615802603.5042109</v>
      </c>
      <c r="V2" s="96">
        <f t="shared" si="0"/>
        <v>1748633281.5580461</v>
      </c>
      <c r="W2" s="96">
        <f t="shared" si="0"/>
        <v>81994301.551456943</v>
      </c>
    </row>
    <row r="3" spans="1:25" ht="43" thickBot="1" x14ac:dyDescent="0.2">
      <c r="A3" s="97" t="s">
        <v>169</v>
      </c>
      <c r="B3" s="98" t="s">
        <v>170</v>
      </c>
      <c r="C3" s="98" t="s">
        <v>171</v>
      </c>
      <c r="D3" s="99" t="s">
        <v>172</v>
      </c>
      <c r="E3" s="98" t="s">
        <v>173</v>
      </c>
      <c r="F3" s="98" t="s">
        <v>174</v>
      </c>
      <c r="G3" s="98" t="s">
        <v>175</v>
      </c>
      <c r="H3" s="100" t="s">
        <v>176</v>
      </c>
      <c r="I3" s="98" t="s">
        <v>177</v>
      </c>
      <c r="J3" s="98" t="s">
        <v>178</v>
      </c>
      <c r="K3" s="98" t="s">
        <v>179</v>
      </c>
      <c r="L3" s="98" t="s">
        <v>180</v>
      </c>
      <c r="M3" s="101" t="s">
        <v>181</v>
      </c>
      <c r="N3" s="101" t="s">
        <v>182</v>
      </c>
      <c r="O3" s="101" t="s">
        <v>183</v>
      </c>
      <c r="P3" s="101" t="s">
        <v>184</v>
      </c>
      <c r="Q3" s="101" t="s">
        <v>185</v>
      </c>
      <c r="R3" s="101" t="s">
        <v>186</v>
      </c>
      <c r="S3" s="101" t="s">
        <v>187</v>
      </c>
      <c r="T3" s="101" t="s">
        <v>188</v>
      </c>
      <c r="U3" s="101" t="s">
        <v>189</v>
      </c>
      <c r="V3" s="101" t="s">
        <v>190</v>
      </c>
      <c r="W3" s="102" t="s">
        <v>191</v>
      </c>
      <c r="X3" s="103" t="s">
        <v>192</v>
      </c>
      <c r="Y3" s="104" t="s">
        <v>193</v>
      </c>
    </row>
    <row r="4" spans="1:25" x14ac:dyDescent="0.15">
      <c r="A4" s="105" t="s">
        <v>67</v>
      </c>
      <c r="B4" s="106" t="s">
        <v>163</v>
      </c>
      <c r="C4" s="106" t="s">
        <v>194</v>
      </c>
      <c r="D4" s="107">
        <v>88</v>
      </c>
      <c r="E4" s="108">
        <v>0.15310000000000001</v>
      </c>
      <c r="F4" s="109">
        <v>1</v>
      </c>
      <c r="G4" s="110">
        <v>10</v>
      </c>
      <c r="H4" s="111">
        <v>690279.65</v>
      </c>
      <c r="I4" s="111">
        <v>7720</v>
      </c>
      <c r="J4" s="111">
        <v>399.608</v>
      </c>
      <c r="K4" s="111">
        <v>323440</v>
      </c>
      <c r="L4" s="111">
        <v>28397.727272727272</v>
      </c>
      <c r="M4" s="111">
        <f t="shared" ref="M4:M50" si="1">(D4*H4)*F4</f>
        <v>60744609.200000003</v>
      </c>
      <c r="N4" s="111">
        <f t="shared" ref="N4:N50" si="2">(D4*H4*(E4))*F4</f>
        <v>9299999.6685200017</v>
      </c>
      <c r="O4" s="111">
        <f t="shared" ref="O4:O50" si="3">(D4*I4)*F4</f>
        <v>679360</v>
      </c>
      <c r="P4" s="111">
        <f t="shared" ref="P4:P50" si="4">(D4*I4*(E4))*F4</f>
        <v>104010.016</v>
      </c>
      <c r="Q4" s="111">
        <f t="shared" ref="Q4:Q50" si="5">(D4*J4)*F4</f>
        <v>35165.504000000001</v>
      </c>
      <c r="R4" s="111">
        <f t="shared" ref="R4:R50" si="6">(D4*J4*(E4))*F4</f>
        <v>5383.8386624000004</v>
      </c>
      <c r="S4" s="111">
        <f t="shared" ref="S4:S50" si="7">D4*(K4)</f>
        <v>28462720</v>
      </c>
      <c r="T4" s="111">
        <f t="shared" ref="T4:T50" si="8">D4*(K4)*(E4)</f>
        <v>4357642.432</v>
      </c>
      <c r="U4" s="111">
        <f t="shared" ref="U4:U50" si="9">(D4*H4*G4)*F4</f>
        <v>607446092</v>
      </c>
      <c r="V4" s="111">
        <f t="shared" ref="V4:V50" si="10">(D4*H4*G4*(E4))*F4</f>
        <v>92999996.685200006</v>
      </c>
      <c r="W4" s="112">
        <f t="shared" ref="W4:W50" si="11">L4*D4</f>
        <v>2499000</v>
      </c>
      <c r="X4" s="113">
        <f>L4/K4</f>
        <v>8.7799057855327947E-2</v>
      </c>
      <c r="Y4" s="113">
        <f>E4</f>
        <v>0.15310000000000001</v>
      </c>
    </row>
    <row r="5" spans="1:25" x14ac:dyDescent="0.15">
      <c r="A5" s="114" t="s">
        <v>0</v>
      </c>
      <c r="B5" s="115" t="s">
        <v>1</v>
      </c>
      <c r="C5" s="115" t="s">
        <v>1</v>
      </c>
      <c r="D5" s="116">
        <v>877</v>
      </c>
      <c r="E5" s="117">
        <v>0.5081494825034496</v>
      </c>
      <c r="F5" s="118">
        <v>1</v>
      </c>
      <c r="G5" s="119">
        <v>18.394454416865521</v>
      </c>
      <c r="H5" s="120">
        <v>38261.785632839223</v>
      </c>
      <c r="I5" s="120">
        <v>7804.1528369680254</v>
      </c>
      <c r="J5" s="120">
        <v>0.23449865068803077</v>
      </c>
      <c r="K5" s="120">
        <v>24399.093771484222</v>
      </c>
      <c r="L5" s="120">
        <v>12479.589509692132</v>
      </c>
      <c r="M5" s="120">
        <f t="shared" si="1"/>
        <v>33555586</v>
      </c>
      <c r="N5" s="120">
        <f t="shared" si="2"/>
        <v>17051253.660999998</v>
      </c>
      <c r="O5" s="120">
        <f t="shared" si="3"/>
        <v>6844242.0380209582</v>
      </c>
      <c r="P5" s="120">
        <f t="shared" si="4"/>
        <v>3477898.0497487052</v>
      </c>
      <c r="Q5" s="120">
        <f t="shared" si="5"/>
        <v>205.65531665340299</v>
      </c>
      <c r="R5" s="120">
        <f t="shared" si="6"/>
        <v>104.50364273150979</v>
      </c>
      <c r="S5" s="120">
        <f t="shared" si="7"/>
        <v>21398005.237591662</v>
      </c>
      <c r="T5" s="120">
        <f t="shared" si="8"/>
        <v>10873385.288088307</v>
      </c>
      <c r="U5" s="120">
        <f t="shared" si="9"/>
        <v>617236697.1082108</v>
      </c>
      <c r="V5" s="120">
        <f t="shared" si="10"/>
        <v>313648508.21767581</v>
      </c>
      <c r="W5" s="121">
        <f t="shared" si="11"/>
        <v>10944600</v>
      </c>
      <c r="X5" s="113">
        <f t="shared" ref="X5:X50" si="12">L5/K5</f>
        <v>0.51147758300258317</v>
      </c>
      <c r="Y5" s="113">
        <f t="shared" ref="Y5:Y50" si="13">E5</f>
        <v>0.5081494825034496</v>
      </c>
    </row>
    <row r="6" spans="1:25" x14ac:dyDescent="0.15">
      <c r="A6" s="114" t="s">
        <v>66</v>
      </c>
      <c r="B6" s="115" t="s">
        <v>60</v>
      </c>
      <c r="C6" s="115" t="s">
        <v>60</v>
      </c>
      <c r="D6" s="116">
        <v>511</v>
      </c>
      <c r="E6" s="117">
        <v>0.43709779125342774</v>
      </c>
      <c r="F6" s="118">
        <v>1</v>
      </c>
      <c r="G6" s="119">
        <v>15.328434190301957</v>
      </c>
      <c r="H6" s="120">
        <v>225544.32485322896</v>
      </c>
      <c r="I6" s="120">
        <v>15022.644134215714</v>
      </c>
      <c r="J6" s="120">
        <v>18.171787697441392</v>
      </c>
      <c r="K6" s="120">
        <v>52890.514677103718</v>
      </c>
      <c r="L6" s="120">
        <v>26348.336594911936</v>
      </c>
      <c r="M6" s="120">
        <f t="shared" si="1"/>
        <v>115253150</v>
      </c>
      <c r="N6" s="120">
        <f t="shared" si="2"/>
        <v>50376897.299999997</v>
      </c>
      <c r="O6" s="120">
        <f t="shared" si="3"/>
        <v>7676571.1525842296</v>
      </c>
      <c r="P6" s="120">
        <f t="shared" si="4"/>
        <v>3355412.2951943469</v>
      </c>
      <c r="Q6" s="120">
        <f t="shared" si="5"/>
        <v>9285.783513392551</v>
      </c>
      <c r="R6" s="120">
        <f t="shared" si="6"/>
        <v>4058.795463761378</v>
      </c>
      <c r="S6" s="120">
        <f t="shared" si="7"/>
        <v>27027053</v>
      </c>
      <c r="T6" s="120">
        <f t="shared" si="8"/>
        <v>11813465.170389328</v>
      </c>
      <c r="U6" s="120">
        <f t="shared" si="9"/>
        <v>1766650325</v>
      </c>
      <c r="V6" s="120">
        <f t="shared" si="10"/>
        <v>772198954.97465026</v>
      </c>
      <c r="W6" s="121">
        <f t="shared" si="11"/>
        <v>13464000</v>
      </c>
      <c r="X6" s="113">
        <f t="shared" si="12"/>
        <v>0.49816752126101205</v>
      </c>
      <c r="Y6" s="113">
        <f t="shared" si="13"/>
        <v>0.43709779125342774</v>
      </c>
    </row>
    <row r="7" spans="1:25" x14ac:dyDescent="0.15">
      <c r="A7" s="122" t="s">
        <v>61</v>
      </c>
      <c r="B7" s="115" t="s">
        <v>62</v>
      </c>
      <c r="C7" s="115" t="s">
        <v>195</v>
      </c>
      <c r="D7" s="116">
        <v>14850</v>
      </c>
      <c r="E7" s="117">
        <v>0.95</v>
      </c>
      <c r="F7" s="118">
        <v>1</v>
      </c>
      <c r="G7" s="119">
        <v>25</v>
      </c>
      <c r="H7" s="120">
        <v>550</v>
      </c>
      <c r="I7" s="120">
        <v>359</v>
      </c>
      <c r="J7" s="120"/>
      <c r="K7" s="120">
        <v>2940.8</v>
      </c>
      <c r="L7" s="120">
        <v>1760.3323544718489</v>
      </c>
      <c r="M7" s="120">
        <f t="shared" si="1"/>
        <v>8167500</v>
      </c>
      <c r="N7" s="120">
        <f t="shared" si="2"/>
        <v>7759125</v>
      </c>
      <c r="O7" s="120">
        <f t="shared" si="3"/>
        <v>5331150</v>
      </c>
      <c r="P7" s="120">
        <f t="shared" si="4"/>
        <v>5064592.5</v>
      </c>
      <c r="Q7" s="120">
        <f t="shared" si="5"/>
        <v>0</v>
      </c>
      <c r="R7" s="120">
        <f t="shared" si="6"/>
        <v>0</v>
      </c>
      <c r="S7" s="120">
        <f t="shared" si="7"/>
        <v>43670880</v>
      </c>
      <c r="T7" s="120">
        <f t="shared" si="8"/>
        <v>41487336</v>
      </c>
      <c r="U7" s="120">
        <f t="shared" si="9"/>
        <v>204187500</v>
      </c>
      <c r="V7" s="120">
        <f t="shared" si="10"/>
        <v>193978125</v>
      </c>
      <c r="W7" s="121">
        <f t="shared" si="11"/>
        <v>26140935.463906955</v>
      </c>
      <c r="X7" s="113">
        <f t="shared" si="12"/>
        <v>0.5985896199917875</v>
      </c>
      <c r="Y7" s="113">
        <f t="shared" si="13"/>
        <v>0.95</v>
      </c>
    </row>
    <row r="8" spans="1:25" x14ac:dyDescent="0.15">
      <c r="A8" s="114" t="s">
        <v>61</v>
      </c>
      <c r="B8" s="115" t="s">
        <v>63</v>
      </c>
      <c r="C8" s="115" t="s">
        <v>196</v>
      </c>
      <c r="D8" s="116">
        <v>32250</v>
      </c>
      <c r="E8" s="117">
        <v>0.96</v>
      </c>
      <c r="F8" s="118">
        <v>1</v>
      </c>
      <c r="G8" s="119">
        <v>15</v>
      </c>
      <c r="H8" s="120">
        <v>185</v>
      </c>
      <c r="I8" s="120">
        <v>176</v>
      </c>
      <c r="J8" s="120">
        <v>0</v>
      </c>
      <c r="K8" s="120">
        <v>300</v>
      </c>
      <c r="L8" s="120">
        <v>76.5</v>
      </c>
      <c r="M8" s="120">
        <f t="shared" si="1"/>
        <v>5966250</v>
      </c>
      <c r="N8" s="120">
        <f t="shared" si="2"/>
        <v>5727600</v>
      </c>
      <c r="O8" s="120">
        <f t="shared" si="3"/>
        <v>5676000</v>
      </c>
      <c r="P8" s="120">
        <f t="shared" si="4"/>
        <v>5448960</v>
      </c>
      <c r="Q8" s="120">
        <f t="shared" si="5"/>
        <v>0</v>
      </c>
      <c r="R8" s="120">
        <f t="shared" si="6"/>
        <v>0</v>
      </c>
      <c r="S8" s="120">
        <f t="shared" si="7"/>
        <v>9675000</v>
      </c>
      <c r="T8" s="120">
        <f t="shared" si="8"/>
        <v>9288000</v>
      </c>
      <c r="U8" s="120">
        <f t="shared" si="9"/>
        <v>89493750</v>
      </c>
      <c r="V8" s="120">
        <f t="shared" si="10"/>
        <v>85914000</v>
      </c>
      <c r="W8" s="121">
        <f t="shared" si="11"/>
        <v>2467125</v>
      </c>
      <c r="X8" s="113">
        <f t="shared" si="12"/>
        <v>0.255</v>
      </c>
      <c r="Y8" s="113">
        <f t="shared" si="13"/>
        <v>0.96</v>
      </c>
    </row>
    <row r="9" spans="1:25" x14ac:dyDescent="0.15">
      <c r="A9" s="114" t="s">
        <v>61</v>
      </c>
      <c r="B9" s="115" t="s">
        <v>63</v>
      </c>
      <c r="C9" s="115" t="s">
        <v>197</v>
      </c>
      <c r="D9" s="116">
        <v>2500</v>
      </c>
      <c r="E9" s="117">
        <v>0.96</v>
      </c>
      <c r="F9" s="118">
        <v>1</v>
      </c>
      <c r="G9" s="119">
        <v>15</v>
      </c>
      <c r="H9" s="120">
        <v>185</v>
      </c>
      <c r="I9" s="120">
        <v>176</v>
      </c>
      <c r="J9" s="120">
        <v>0</v>
      </c>
      <c r="K9" s="120">
        <v>300</v>
      </c>
      <c r="L9" s="120">
        <v>127.5</v>
      </c>
      <c r="M9" s="120">
        <f t="shared" si="1"/>
        <v>462500</v>
      </c>
      <c r="N9" s="120">
        <f t="shared" si="2"/>
        <v>444000</v>
      </c>
      <c r="O9" s="120">
        <f t="shared" si="3"/>
        <v>440000</v>
      </c>
      <c r="P9" s="120">
        <f t="shared" si="4"/>
        <v>422400</v>
      </c>
      <c r="Q9" s="120">
        <f t="shared" si="5"/>
        <v>0</v>
      </c>
      <c r="R9" s="120">
        <f t="shared" si="6"/>
        <v>0</v>
      </c>
      <c r="S9" s="120">
        <f t="shared" si="7"/>
        <v>750000</v>
      </c>
      <c r="T9" s="120">
        <f t="shared" si="8"/>
        <v>720000</v>
      </c>
      <c r="U9" s="120">
        <f t="shared" si="9"/>
        <v>6937500</v>
      </c>
      <c r="V9" s="120">
        <f t="shared" si="10"/>
        <v>6660000</v>
      </c>
      <c r="W9" s="121">
        <f t="shared" si="11"/>
        <v>318750</v>
      </c>
      <c r="X9" s="113">
        <f t="shared" si="12"/>
        <v>0.42499999999999999</v>
      </c>
      <c r="Y9" s="113">
        <f t="shared" si="13"/>
        <v>0.96</v>
      </c>
    </row>
    <row r="10" spans="1:25" x14ac:dyDescent="0.15">
      <c r="A10" s="114" t="s">
        <v>61</v>
      </c>
      <c r="B10" s="115" t="s">
        <v>165</v>
      </c>
      <c r="C10" s="115" t="s">
        <v>198</v>
      </c>
      <c r="D10" s="116">
        <v>1043</v>
      </c>
      <c r="E10" s="117">
        <v>0.95</v>
      </c>
      <c r="F10" s="118">
        <v>1</v>
      </c>
      <c r="G10" s="119">
        <v>15</v>
      </c>
      <c r="H10" s="120">
        <v>196</v>
      </c>
      <c r="I10" s="120">
        <v>245</v>
      </c>
      <c r="J10" s="120">
        <v>0</v>
      </c>
      <c r="K10" s="120">
        <v>625</v>
      </c>
      <c r="L10" s="120">
        <v>442.72908945686908</v>
      </c>
      <c r="M10" s="120">
        <f t="shared" si="1"/>
        <v>204428</v>
      </c>
      <c r="N10" s="120">
        <f t="shared" si="2"/>
        <v>194206.59999999998</v>
      </c>
      <c r="O10" s="120">
        <f t="shared" si="3"/>
        <v>255535</v>
      </c>
      <c r="P10" s="120">
        <f t="shared" si="4"/>
        <v>242758.25</v>
      </c>
      <c r="Q10" s="120">
        <f t="shared" si="5"/>
        <v>0</v>
      </c>
      <c r="R10" s="120">
        <f t="shared" si="6"/>
        <v>0</v>
      </c>
      <c r="S10" s="120">
        <f t="shared" si="7"/>
        <v>651875</v>
      </c>
      <c r="T10" s="120">
        <f t="shared" si="8"/>
        <v>619281.25</v>
      </c>
      <c r="U10" s="120">
        <f t="shared" si="9"/>
        <v>3066420</v>
      </c>
      <c r="V10" s="120">
        <f t="shared" si="10"/>
        <v>2913099</v>
      </c>
      <c r="W10" s="121">
        <f t="shared" si="11"/>
        <v>461766.44030351442</v>
      </c>
      <c r="X10" s="113">
        <f t="shared" si="12"/>
        <v>0.70836654313099057</v>
      </c>
      <c r="Y10" s="113">
        <f t="shared" si="13"/>
        <v>0.95</v>
      </c>
    </row>
    <row r="11" spans="1:25" x14ac:dyDescent="0.15">
      <c r="A11" s="122" t="s">
        <v>61</v>
      </c>
      <c r="B11" s="115" t="s">
        <v>165</v>
      </c>
      <c r="C11" s="115" t="s">
        <v>199</v>
      </c>
      <c r="D11" s="116">
        <v>3756</v>
      </c>
      <c r="E11" s="117">
        <v>0.66999999999999993</v>
      </c>
      <c r="F11" s="118">
        <v>1</v>
      </c>
      <c r="G11" s="119">
        <v>30</v>
      </c>
      <c r="H11" s="120">
        <v>178</v>
      </c>
      <c r="I11" s="120">
        <v>172</v>
      </c>
      <c r="J11" s="120">
        <v>0</v>
      </c>
      <c r="K11" s="120">
        <v>1671</v>
      </c>
      <c r="L11" s="120">
        <v>571.24908945686911</v>
      </c>
      <c r="M11" s="120">
        <f t="shared" si="1"/>
        <v>668568</v>
      </c>
      <c r="N11" s="120">
        <f t="shared" si="2"/>
        <v>447940.55999999994</v>
      </c>
      <c r="O11" s="120">
        <f t="shared" si="3"/>
        <v>646032</v>
      </c>
      <c r="P11" s="120">
        <f t="shared" si="4"/>
        <v>432841.43999999994</v>
      </c>
      <c r="Q11" s="120">
        <f t="shared" si="5"/>
        <v>0</v>
      </c>
      <c r="R11" s="120">
        <f t="shared" si="6"/>
        <v>0</v>
      </c>
      <c r="S11" s="120">
        <f t="shared" si="7"/>
        <v>6276276</v>
      </c>
      <c r="T11" s="120">
        <f t="shared" si="8"/>
        <v>4205104.92</v>
      </c>
      <c r="U11" s="120">
        <f t="shared" si="9"/>
        <v>20057040</v>
      </c>
      <c r="V11" s="120">
        <f t="shared" si="10"/>
        <v>13438216.799999999</v>
      </c>
      <c r="W11" s="121">
        <f t="shared" si="11"/>
        <v>2145611.5800000005</v>
      </c>
      <c r="X11" s="113">
        <f t="shared" si="12"/>
        <v>0.34186061607233342</v>
      </c>
      <c r="Y11" s="113">
        <f t="shared" si="13"/>
        <v>0.66999999999999993</v>
      </c>
    </row>
    <row r="12" spans="1:25" x14ac:dyDescent="0.15">
      <c r="A12" s="122" t="s">
        <v>61</v>
      </c>
      <c r="B12" s="115" t="s">
        <v>165</v>
      </c>
      <c r="C12" s="115" t="s">
        <v>200</v>
      </c>
      <c r="D12" s="116">
        <v>84</v>
      </c>
      <c r="E12" s="117">
        <v>0.66999999999999993</v>
      </c>
      <c r="F12" s="118">
        <v>1</v>
      </c>
      <c r="G12" s="119">
        <v>30</v>
      </c>
      <c r="H12" s="120">
        <v>293</v>
      </c>
      <c r="I12" s="120">
        <v>109</v>
      </c>
      <c r="J12" s="120">
        <v>0</v>
      </c>
      <c r="K12" s="120">
        <v>3261</v>
      </c>
      <c r="L12" s="120">
        <v>1131.2290894568691</v>
      </c>
      <c r="M12" s="120">
        <f t="shared" si="1"/>
        <v>24612</v>
      </c>
      <c r="N12" s="120">
        <f t="shared" si="2"/>
        <v>16490.039999999997</v>
      </c>
      <c r="O12" s="120">
        <f t="shared" si="3"/>
        <v>9156</v>
      </c>
      <c r="P12" s="120">
        <f t="shared" si="4"/>
        <v>6134.5199999999995</v>
      </c>
      <c r="Q12" s="120">
        <f t="shared" si="5"/>
        <v>0</v>
      </c>
      <c r="R12" s="120">
        <f t="shared" si="6"/>
        <v>0</v>
      </c>
      <c r="S12" s="120">
        <f t="shared" si="7"/>
        <v>273924</v>
      </c>
      <c r="T12" s="120">
        <f t="shared" si="8"/>
        <v>183529.08</v>
      </c>
      <c r="U12" s="120">
        <f t="shared" si="9"/>
        <v>738360</v>
      </c>
      <c r="V12" s="120">
        <f t="shared" si="10"/>
        <v>494701.19999999995</v>
      </c>
      <c r="W12" s="121">
        <f t="shared" si="11"/>
        <v>95023.243514377013</v>
      </c>
      <c r="X12" s="113">
        <f t="shared" si="12"/>
        <v>0.34689637824497671</v>
      </c>
      <c r="Y12" s="113">
        <f t="shared" si="13"/>
        <v>0.66999999999999993</v>
      </c>
    </row>
    <row r="13" spans="1:25" x14ac:dyDescent="0.15">
      <c r="A13" s="122" t="s">
        <v>61</v>
      </c>
      <c r="B13" s="115" t="s">
        <v>165</v>
      </c>
      <c r="C13" s="115" t="s">
        <v>201</v>
      </c>
      <c r="D13" s="116">
        <v>1377</v>
      </c>
      <c r="E13" s="117">
        <v>0.66999999999999993</v>
      </c>
      <c r="F13" s="118">
        <v>1</v>
      </c>
      <c r="G13" s="119">
        <v>30</v>
      </c>
      <c r="H13" s="120">
        <v>182</v>
      </c>
      <c r="I13" s="120">
        <v>208</v>
      </c>
      <c r="J13" s="120">
        <v>0</v>
      </c>
      <c r="K13" s="120">
        <v>1551</v>
      </c>
      <c r="L13" s="120">
        <v>621.22908945686913</v>
      </c>
      <c r="M13" s="120">
        <f t="shared" si="1"/>
        <v>250614</v>
      </c>
      <c r="N13" s="120">
        <f t="shared" si="2"/>
        <v>167911.37999999998</v>
      </c>
      <c r="O13" s="120">
        <f t="shared" si="3"/>
        <v>286416</v>
      </c>
      <c r="P13" s="120">
        <f t="shared" si="4"/>
        <v>191898.71999999997</v>
      </c>
      <c r="Q13" s="120">
        <f t="shared" si="5"/>
        <v>0</v>
      </c>
      <c r="R13" s="120">
        <f t="shared" si="6"/>
        <v>0</v>
      </c>
      <c r="S13" s="120">
        <f t="shared" si="7"/>
        <v>2135727</v>
      </c>
      <c r="T13" s="120">
        <f t="shared" si="8"/>
        <v>1430937.0899999999</v>
      </c>
      <c r="U13" s="120">
        <f t="shared" si="9"/>
        <v>7518420</v>
      </c>
      <c r="V13" s="120">
        <f t="shared" si="10"/>
        <v>5037341.3999999994</v>
      </c>
      <c r="W13" s="121">
        <f t="shared" si="11"/>
        <v>855432.45618210884</v>
      </c>
      <c r="X13" s="113">
        <f t="shared" si="12"/>
        <v>0.40053455155181761</v>
      </c>
      <c r="Y13" s="113">
        <f t="shared" si="13"/>
        <v>0.66999999999999993</v>
      </c>
    </row>
    <row r="14" spans="1:25" x14ac:dyDescent="0.15">
      <c r="A14" s="114" t="s">
        <v>0</v>
      </c>
      <c r="B14" s="115" t="s">
        <v>3</v>
      </c>
      <c r="C14" s="115" t="s">
        <v>202</v>
      </c>
      <c r="D14" s="116">
        <v>319</v>
      </c>
      <c r="E14" s="117">
        <v>0.95000000000000007</v>
      </c>
      <c r="F14" s="118">
        <v>1</v>
      </c>
      <c r="G14" s="119">
        <v>15</v>
      </c>
      <c r="H14" s="120">
        <v>5266.3730407523508</v>
      </c>
      <c r="I14" s="120">
        <v>199.00940438871473</v>
      </c>
      <c r="J14" s="120">
        <v>0</v>
      </c>
      <c r="K14" s="120">
        <v>10240.990595611285</v>
      </c>
      <c r="L14" s="120">
        <v>7471.9188714733546</v>
      </c>
      <c r="M14" s="120">
        <f t="shared" si="1"/>
        <v>1679973</v>
      </c>
      <c r="N14" s="120">
        <f t="shared" si="2"/>
        <v>1595974.35</v>
      </c>
      <c r="O14" s="120">
        <f t="shared" si="3"/>
        <v>63484</v>
      </c>
      <c r="P14" s="120">
        <f t="shared" si="4"/>
        <v>60309.8</v>
      </c>
      <c r="Q14" s="120">
        <f t="shared" si="5"/>
        <v>0</v>
      </c>
      <c r="R14" s="120">
        <f t="shared" si="6"/>
        <v>0</v>
      </c>
      <c r="S14" s="120">
        <f t="shared" si="7"/>
        <v>3266876</v>
      </c>
      <c r="T14" s="120">
        <f t="shared" si="8"/>
        <v>3103532.2</v>
      </c>
      <c r="U14" s="120">
        <f t="shared" si="9"/>
        <v>25199595</v>
      </c>
      <c r="V14" s="120">
        <f t="shared" si="10"/>
        <v>23939615.25</v>
      </c>
      <c r="W14" s="121">
        <f t="shared" si="11"/>
        <v>2383542.12</v>
      </c>
      <c r="X14" s="113">
        <f t="shared" si="12"/>
        <v>0.72960899648471511</v>
      </c>
      <c r="Y14" s="113">
        <f t="shared" si="13"/>
        <v>0.95000000000000007</v>
      </c>
    </row>
    <row r="15" spans="1:25" x14ac:dyDescent="0.15">
      <c r="A15" s="114" t="s">
        <v>0</v>
      </c>
      <c r="B15" s="115" t="s">
        <v>3</v>
      </c>
      <c r="C15" s="115" t="s">
        <v>203</v>
      </c>
      <c r="D15" s="116">
        <v>572</v>
      </c>
      <c r="E15" s="117">
        <v>0.95</v>
      </c>
      <c r="F15" s="118">
        <v>1</v>
      </c>
      <c r="G15" s="119">
        <v>10</v>
      </c>
      <c r="H15" s="120">
        <v>2475.6153846153848</v>
      </c>
      <c r="I15" s="120">
        <v>628.10314685314688</v>
      </c>
      <c r="J15" s="120">
        <v>0</v>
      </c>
      <c r="K15" s="120">
        <v>1661.1468531468531</v>
      </c>
      <c r="L15" s="120">
        <v>1321.3636363636365</v>
      </c>
      <c r="M15" s="120">
        <f t="shared" si="1"/>
        <v>1416052</v>
      </c>
      <c r="N15" s="120">
        <f t="shared" si="2"/>
        <v>1345249.4</v>
      </c>
      <c r="O15" s="120">
        <f t="shared" si="3"/>
        <v>359275</v>
      </c>
      <c r="P15" s="120">
        <f t="shared" si="4"/>
        <v>341311.25</v>
      </c>
      <c r="Q15" s="120">
        <f t="shared" si="5"/>
        <v>0</v>
      </c>
      <c r="R15" s="120">
        <f t="shared" si="6"/>
        <v>0</v>
      </c>
      <c r="S15" s="120">
        <f t="shared" si="7"/>
        <v>950176</v>
      </c>
      <c r="T15" s="120">
        <f t="shared" si="8"/>
        <v>902667.2</v>
      </c>
      <c r="U15" s="120">
        <f t="shared" si="9"/>
        <v>14160520</v>
      </c>
      <c r="V15" s="120">
        <f t="shared" si="10"/>
        <v>13452494</v>
      </c>
      <c r="W15" s="121">
        <f t="shared" si="11"/>
        <v>755820.00000000012</v>
      </c>
      <c r="X15" s="113">
        <f t="shared" si="12"/>
        <v>0.79545263193345239</v>
      </c>
      <c r="Y15" s="113">
        <f t="shared" si="13"/>
        <v>0.95</v>
      </c>
    </row>
    <row r="16" spans="1:25" x14ac:dyDescent="0.15">
      <c r="A16" s="114" t="s">
        <v>0</v>
      </c>
      <c r="B16" s="115" t="s">
        <v>3</v>
      </c>
      <c r="C16" s="115" t="s">
        <v>204</v>
      </c>
      <c r="D16" s="116">
        <v>15</v>
      </c>
      <c r="E16" s="117">
        <v>0.95</v>
      </c>
      <c r="F16" s="118">
        <v>1</v>
      </c>
      <c r="G16" s="119">
        <v>15</v>
      </c>
      <c r="H16" s="120">
        <v>5515.8</v>
      </c>
      <c r="I16" s="120">
        <v>7296.2</v>
      </c>
      <c r="J16" s="120">
        <v>0</v>
      </c>
      <c r="K16" s="120">
        <v>6248.8</v>
      </c>
      <c r="L16" s="120">
        <v>13759.800000000001</v>
      </c>
      <c r="M16" s="120">
        <f t="shared" si="1"/>
        <v>82737</v>
      </c>
      <c r="N16" s="120">
        <f t="shared" si="2"/>
        <v>78600.149999999994</v>
      </c>
      <c r="O16" s="120">
        <f t="shared" si="3"/>
        <v>109443</v>
      </c>
      <c r="P16" s="120">
        <f t="shared" si="4"/>
        <v>103970.84999999999</v>
      </c>
      <c r="Q16" s="120">
        <f t="shared" si="5"/>
        <v>0</v>
      </c>
      <c r="R16" s="120">
        <f t="shared" si="6"/>
        <v>0</v>
      </c>
      <c r="S16" s="120">
        <f t="shared" si="7"/>
        <v>93732</v>
      </c>
      <c r="T16" s="120">
        <f t="shared" si="8"/>
        <v>89045.4</v>
      </c>
      <c r="U16" s="120">
        <f t="shared" si="9"/>
        <v>1241055</v>
      </c>
      <c r="V16" s="120">
        <f t="shared" si="10"/>
        <v>1179002.25</v>
      </c>
      <c r="W16" s="121">
        <f t="shared" si="11"/>
        <v>206397.00000000003</v>
      </c>
      <c r="X16" s="113">
        <f t="shared" si="12"/>
        <v>2.2019907822301885</v>
      </c>
      <c r="Y16" s="113">
        <f t="shared" si="13"/>
        <v>0.95</v>
      </c>
    </row>
    <row r="17" spans="1:25" x14ac:dyDescent="0.15">
      <c r="A17" s="114" t="s">
        <v>0</v>
      </c>
      <c r="B17" s="115" t="s">
        <v>3</v>
      </c>
      <c r="C17" s="115" t="s">
        <v>205</v>
      </c>
      <c r="D17" s="116">
        <v>8</v>
      </c>
      <c r="E17" s="117">
        <v>0.92</v>
      </c>
      <c r="F17" s="118">
        <v>1</v>
      </c>
      <c r="G17" s="119">
        <v>15</v>
      </c>
      <c r="H17" s="120">
        <v>7421.1324750000003</v>
      </c>
      <c r="I17" s="120">
        <v>412.71572250000003</v>
      </c>
      <c r="J17" s="120">
        <v>403.02755999999994</v>
      </c>
      <c r="K17" s="120">
        <v>18214</v>
      </c>
      <c r="L17" s="120">
        <v>13933.710000000001</v>
      </c>
      <c r="M17" s="120">
        <f t="shared" si="1"/>
        <v>59369.059800000003</v>
      </c>
      <c r="N17" s="120">
        <f t="shared" si="2"/>
        <v>54619.535016000002</v>
      </c>
      <c r="O17" s="120">
        <f t="shared" si="3"/>
        <v>3301.7257800000002</v>
      </c>
      <c r="P17" s="120">
        <f t="shared" si="4"/>
        <v>3037.5877176000004</v>
      </c>
      <c r="Q17" s="120">
        <f t="shared" si="5"/>
        <v>3224.2204799999995</v>
      </c>
      <c r="R17" s="120">
        <f t="shared" si="6"/>
        <v>2966.2828415999998</v>
      </c>
      <c r="S17" s="120">
        <f t="shared" si="7"/>
        <v>145712</v>
      </c>
      <c r="T17" s="120">
        <f t="shared" si="8"/>
        <v>134055.04000000001</v>
      </c>
      <c r="U17" s="120">
        <f t="shared" si="9"/>
        <v>890535.897</v>
      </c>
      <c r="V17" s="120">
        <f t="shared" si="10"/>
        <v>819293.02523999999</v>
      </c>
      <c r="W17" s="121">
        <f t="shared" si="11"/>
        <v>111469.68000000001</v>
      </c>
      <c r="X17" s="113">
        <f t="shared" si="12"/>
        <v>0.76500000000000001</v>
      </c>
      <c r="Y17" s="113">
        <f t="shared" si="13"/>
        <v>0.92</v>
      </c>
    </row>
    <row r="18" spans="1:25" x14ac:dyDescent="0.15">
      <c r="A18" s="114" t="s">
        <v>0</v>
      </c>
      <c r="B18" s="115" t="s">
        <v>3</v>
      </c>
      <c r="C18" s="115" t="s">
        <v>206</v>
      </c>
      <c r="D18" s="116">
        <v>200</v>
      </c>
      <c r="E18" s="117">
        <v>0.95</v>
      </c>
      <c r="F18" s="118">
        <v>1</v>
      </c>
      <c r="G18" s="119">
        <v>15</v>
      </c>
      <c r="H18" s="120">
        <v>1039.4160000000002</v>
      </c>
      <c r="I18" s="120">
        <v>0</v>
      </c>
      <c r="J18" s="120">
        <v>0</v>
      </c>
      <c r="K18" s="120">
        <v>1050</v>
      </c>
      <c r="L18" s="120">
        <v>1058.25</v>
      </c>
      <c r="M18" s="120">
        <f t="shared" si="1"/>
        <v>207883.20000000004</v>
      </c>
      <c r="N18" s="120">
        <f t="shared" si="2"/>
        <v>197489.04000000004</v>
      </c>
      <c r="O18" s="120">
        <f t="shared" si="3"/>
        <v>0</v>
      </c>
      <c r="P18" s="120">
        <f t="shared" si="4"/>
        <v>0</v>
      </c>
      <c r="Q18" s="120">
        <f t="shared" si="5"/>
        <v>0</v>
      </c>
      <c r="R18" s="120">
        <f t="shared" si="6"/>
        <v>0</v>
      </c>
      <c r="S18" s="120">
        <f t="shared" si="7"/>
        <v>210000</v>
      </c>
      <c r="T18" s="120">
        <f t="shared" si="8"/>
        <v>199500</v>
      </c>
      <c r="U18" s="120">
        <f t="shared" si="9"/>
        <v>3118248.0000000005</v>
      </c>
      <c r="V18" s="120">
        <f t="shared" si="10"/>
        <v>2962335.6</v>
      </c>
      <c r="W18" s="121">
        <f t="shared" si="11"/>
        <v>211650</v>
      </c>
      <c r="X18" s="113">
        <f t="shared" si="12"/>
        <v>1.0078571428571428</v>
      </c>
      <c r="Y18" s="113">
        <f t="shared" si="13"/>
        <v>0.95</v>
      </c>
    </row>
    <row r="19" spans="1:25" x14ac:dyDescent="0.15">
      <c r="A19" s="114" t="s">
        <v>0</v>
      </c>
      <c r="B19" s="115" t="s">
        <v>3</v>
      </c>
      <c r="C19" s="115" t="s">
        <v>207</v>
      </c>
      <c r="D19" s="116">
        <v>30</v>
      </c>
      <c r="E19" s="117">
        <v>0.9</v>
      </c>
      <c r="F19" s="118">
        <v>1</v>
      </c>
      <c r="G19" s="119">
        <v>15</v>
      </c>
      <c r="H19" s="120">
        <v>2326.6666666666665</v>
      </c>
      <c r="I19" s="120">
        <v>0</v>
      </c>
      <c r="J19" s="120">
        <v>0</v>
      </c>
      <c r="K19" s="120">
        <v>7961</v>
      </c>
      <c r="L19" s="120">
        <v>4825.1099999999997</v>
      </c>
      <c r="M19" s="120">
        <f t="shared" si="1"/>
        <v>69800</v>
      </c>
      <c r="N19" s="120">
        <f t="shared" si="2"/>
        <v>62820</v>
      </c>
      <c r="O19" s="120">
        <f t="shared" si="3"/>
        <v>0</v>
      </c>
      <c r="P19" s="120">
        <f t="shared" si="4"/>
        <v>0</v>
      </c>
      <c r="Q19" s="120">
        <f t="shared" si="5"/>
        <v>0</v>
      </c>
      <c r="R19" s="120">
        <f t="shared" si="6"/>
        <v>0</v>
      </c>
      <c r="S19" s="120">
        <f t="shared" si="7"/>
        <v>238830</v>
      </c>
      <c r="T19" s="120">
        <f t="shared" si="8"/>
        <v>214947</v>
      </c>
      <c r="U19" s="120">
        <f t="shared" si="9"/>
        <v>1047000</v>
      </c>
      <c r="V19" s="120">
        <f t="shared" si="10"/>
        <v>942300</v>
      </c>
      <c r="W19" s="121">
        <f t="shared" si="11"/>
        <v>144753.29999999999</v>
      </c>
      <c r="X19" s="113">
        <f t="shared" si="12"/>
        <v>0.60609345559603056</v>
      </c>
      <c r="Y19" s="113">
        <f t="shared" si="13"/>
        <v>0.9</v>
      </c>
    </row>
    <row r="20" spans="1:25" x14ac:dyDescent="0.15">
      <c r="A20" s="114" t="s">
        <v>0</v>
      </c>
      <c r="B20" s="115" t="s">
        <v>3</v>
      </c>
      <c r="C20" s="115" t="s">
        <v>208</v>
      </c>
      <c r="D20" s="116">
        <v>21</v>
      </c>
      <c r="E20" s="117">
        <v>0.94999999999999984</v>
      </c>
      <c r="F20" s="118">
        <v>1</v>
      </c>
      <c r="G20" s="119">
        <v>13.999999999999998</v>
      </c>
      <c r="H20" s="120">
        <v>205.44523809523812</v>
      </c>
      <c r="I20" s="120">
        <v>0</v>
      </c>
      <c r="J20" s="120">
        <v>0</v>
      </c>
      <c r="K20" s="120">
        <v>491.76190476190476</v>
      </c>
      <c r="L20" s="120">
        <v>897.49071428571426</v>
      </c>
      <c r="M20" s="120">
        <f t="shared" si="1"/>
        <v>4314.3500000000004</v>
      </c>
      <c r="N20" s="120">
        <f t="shared" si="2"/>
        <v>4098.6324999999997</v>
      </c>
      <c r="O20" s="120">
        <f t="shared" si="3"/>
        <v>0</v>
      </c>
      <c r="P20" s="120">
        <f t="shared" si="4"/>
        <v>0</v>
      </c>
      <c r="Q20" s="120">
        <f t="shared" si="5"/>
        <v>0</v>
      </c>
      <c r="R20" s="120">
        <f t="shared" si="6"/>
        <v>0</v>
      </c>
      <c r="S20" s="120">
        <f t="shared" si="7"/>
        <v>10327</v>
      </c>
      <c r="T20" s="120">
        <f t="shared" si="8"/>
        <v>9810.6499999999978</v>
      </c>
      <c r="U20" s="120">
        <f t="shared" si="9"/>
        <v>60400.899999999994</v>
      </c>
      <c r="V20" s="120">
        <f t="shared" si="10"/>
        <v>57380.854999999989</v>
      </c>
      <c r="W20" s="121">
        <f t="shared" si="11"/>
        <v>18847.305</v>
      </c>
      <c r="X20" s="113">
        <f t="shared" si="12"/>
        <v>1.8250513217778639</v>
      </c>
      <c r="Y20" s="113">
        <f t="shared" si="13"/>
        <v>0.94999999999999984</v>
      </c>
    </row>
    <row r="21" spans="1:25" x14ac:dyDescent="0.15">
      <c r="A21" s="114" t="s">
        <v>0</v>
      </c>
      <c r="B21" s="115" t="s">
        <v>3</v>
      </c>
      <c r="C21" s="115" t="s">
        <v>209</v>
      </c>
      <c r="D21" s="116">
        <v>140</v>
      </c>
      <c r="E21" s="117">
        <v>0.95</v>
      </c>
      <c r="F21" s="118">
        <v>1</v>
      </c>
      <c r="G21" s="119">
        <v>14</v>
      </c>
      <c r="H21" s="120">
        <v>925.71349999999995</v>
      </c>
      <c r="I21" s="120">
        <v>-813.42128571428566</v>
      </c>
      <c r="J21" s="120">
        <v>0</v>
      </c>
      <c r="K21" s="120">
        <v>3026.7471428571425</v>
      </c>
      <c r="L21" s="120">
        <v>2159.398285714286</v>
      </c>
      <c r="M21" s="120">
        <f t="shared" si="1"/>
        <v>129599.89</v>
      </c>
      <c r="N21" s="120">
        <f t="shared" si="2"/>
        <v>123119.8955</v>
      </c>
      <c r="O21" s="120">
        <f t="shared" si="3"/>
        <v>-113878.98</v>
      </c>
      <c r="P21" s="120">
        <f t="shared" si="4"/>
        <v>-108185.03099999999</v>
      </c>
      <c r="Q21" s="120">
        <f t="shared" si="5"/>
        <v>0</v>
      </c>
      <c r="R21" s="120">
        <f t="shared" si="6"/>
        <v>0</v>
      </c>
      <c r="S21" s="120">
        <f t="shared" si="7"/>
        <v>423744.6</v>
      </c>
      <c r="T21" s="120">
        <f t="shared" si="8"/>
        <v>402557.36999999994</v>
      </c>
      <c r="U21" s="120">
        <f t="shared" si="9"/>
        <v>1814398.46</v>
      </c>
      <c r="V21" s="120">
        <f t="shared" si="10"/>
        <v>1723678.5369999998</v>
      </c>
      <c r="W21" s="121">
        <f t="shared" si="11"/>
        <v>302315.76</v>
      </c>
      <c r="X21" s="113">
        <f t="shared" si="12"/>
        <v>0.71343861373100703</v>
      </c>
      <c r="Y21" s="113">
        <f t="shared" si="13"/>
        <v>0.95</v>
      </c>
    </row>
    <row r="22" spans="1:25" x14ac:dyDescent="0.15">
      <c r="A22" s="114" t="s">
        <v>0</v>
      </c>
      <c r="B22" s="115" t="s">
        <v>3</v>
      </c>
      <c r="C22" s="115" t="s">
        <v>210</v>
      </c>
      <c r="D22" s="116">
        <v>5</v>
      </c>
      <c r="E22" s="117">
        <v>0.94999999999999984</v>
      </c>
      <c r="F22" s="118">
        <v>1</v>
      </c>
      <c r="G22" s="119">
        <v>14</v>
      </c>
      <c r="H22" s="120">
        <v>1849.85</v>
      </c>
      <c r="I22" s="120">
        <v>0</v>
      </c>
      <c r="J22" s="120">
        <v>0</v>
      </c>
      <c r="K22" s="120">
        <v>4906.6000000000004</v>
      </c>
      <c r="L22" s="120">
        <v>2192.9490000000001</v>
      </c>
      <c r="M22" s="120">
        <f t="shared" si="1"/>
        <v>9249.25</v>
      </c>
      <c r="N22" s="120">
        <f t="shared" si="2"/>
        <v>8786.7874999999985</v>
      </c>
      <c r="O22" s="120">
        <f t="shared" si="3"/>
        <v>0</v>
      </c>
      <c r="P22" s="120">
        <f t="shared" si="4"/>
        <v>0</v>
      </c>
      <c r="Q22" s="120">
        <f t="shared" si="5"/>
        <v>0</v>
      </c>
      <c r="R22" s="120">
        <f t="shared" si="6"/>
        <v>0</v>
      </c>
      <c r="S22" s="120">
        <f t="shared" si="7"/>
        <v>24533</v>
      </c>
      <c r="T22" s="120">
        <f t="shared" si="8"/>
        <v>23306.349999999995</v>
      </c>
      <c r="U22" s="120">
        <f t="shared" si="9"/>
        <v>129489.5</v>
      </c>
      <c r="V22" s="120">
        <f t="shared" si="10"/>
        <v>123015.02499999998</v>
      </c>
      <c r="W22" s="121">
        <f t="shared" si="11"/>
        <v>10964.745000000001</v>
      </c>
      <c r="X22" s="113">
        <f t="shared" si="12"/>
        <v>0.4469386132963763</v>
      </c>
      <c r="Y22" s="113">
        <f t="shared" si="13"/>
        <v>0.94999999999999984</v>
      </c>
    </row>
    <row r="23" spans="1:25" x14ac:dyDescent="0.15">
      <c r="A23" s="114" t="s">
        <v>0</v>
      </c>
      <c r="B23" s="115" t="s">
        <v>3</v>
      </c>
      <c r="C23" s="115" t="s">
        <v>211</v>
      </c>
      <c r="D23" s="116">
        <v>49</v>
      </c>
      <c r="E23" s="117">
        <v>0.94999999999999984</v>
      </c>
      <c r="F23" s="118">
        <v>1</v>
      </c>
      <c r="G23" s="119">
        <v>13.999999999999996</v>
      </c>
      <c r="H23" s="120">
        <v>1136.3375510204082</v>
      </c>
      <c r="I23" s="120">
        <v>-1162.7393877551019</v>
      </c>
      <c r="J23" s="120">
        <v>0</v>
      </c>
      <c r="K23" s="120">
        <v>4953.9281632653065</v>
      </c>
      <c r="L23" s="120">
        <v>3364.3105989795918</v>
      </c>
      <c r="M23" s="120">
        <f t="shared" si="1"/>
        <v>55680.54</v>
      </c>
      <c r="N23" s="120">
        <f t="shared" si="2"/>
        <v>52896.512999999992</v>
      </c>
      <c r="O23" s="120">
        <f t="shared" si="3"/>
        <v>-56974.229999999996</v>
      </c>
      <c r="P23" s="120">
        <f t="shared" si="4"/>
        <v>-54125.518499999984</v>
      </c>
      <c r="Q23" s="120">
        <f t="shared" si="5"/>
        <v>0</v>
      </c>
      <c r="R23" s="120">
        <f t="shared" si="6"/>
        <v>0</v>
      </c>
      <c r="S23" s="120">
        <f t="shared" si="7"/>
        <v>242742.48</v>
      </c>
      <c r="T23" s="120">
        <f t="shared" si="8"/>
        <v>230605.35599999997</v>
      </c>
      <c r="U23" s="120">
        <f t="shared" si="9"/>
        <v>779527.55999999982</v>
      </c>
      <c r="V23" s="120">
        <f t="shared" si="10"/>
        <v>740551.18199999968</v>
      </c>
      <c r="W23" s="121">
        <f t="shared" si="11"/>
        <v>164851.21935</v>
      </c>
      <c r="X23" s="113">
        <f t="shared" si="12"/>
        <v>0.67911977891137965</v>
      </c>
      <c r="Y23" s="113">
        <f t="shared" si="13"/>
        <v>0.94999999999999984</v>
      </c>
    </row>
    <row r="24" spans="1:25" x14ac:dyDescent="0.15">
      <c r="A24" s="114" t="s">
        <v>0</v>
      </c>
      <c r="B24" s="115" t="s">
        <v>3</v>
      </c>
      <c r="C24" s="115" t="s">
        <v>212</v>
      </c>
      <c r="D24" s="116">
        <v>5</v>
      </c>
      <c r="E24" s="117">
        <v>0.94999999999999984</v>
      </c>
      <c r="F24" s="118">
        <v>1</v>
      </c>
      <c r="G24" s="119">
        <v>20</v>
      </c>
      <c r="H24" s="120">
        <v>3892.4840000000004</v>
      </c>
      <c r="I24" s="120">
        <v>2633.0720000000001</v>
      </c>
      <c r="J24" s="120">
        <v>0</v>
      </c>
      <c r="K24" s="120">
        <v>3118.136</v>
      </c>
      <c r="L24" s="120">
        <v>3150.3740399999997</v>
      </c>
      <c r="M24" s="120">
        <f t="shared" si="1"/>
        <v>19462.420000000002</v>
      </c>
      <c r="N24" s="120">
        <f t="shared" si="2"/>
        <v>18489.298999999999</v>
      </c>
      <c r="O24" s="120">
        <f t="shared" si="3"/>
        <v>13165.36</v>
      </c>
      <c r="P24" s="120">
        <f t="shared" si="4"/>
        <v>12507.091999999999</v>
      </c>
      <c r="Q24" s="120">
        <f t="shared" si="5"/>
        <v>0</v>
      </c>
      <c r="R24" s="120">
        <f t="shared" si="6"/>
        <v>0</v>
      </c>
      <c r="S24" s="120">
        <f t="shared" si="7"/>
        <v>15590.68</v>
      </c>
      <c r="T24" s="120">
        <f t="shared" si="8"/>
        <v>14811.145999999997</v>
      </c>
      <c r="U24" s="120">
        <f t="shared" si="9"/>
        <v>389248.4</v>
      </c>
      <c r="V24" s="120">
        <f t="shared" si="10"/>
        <v>369785.98</v>
      </c>
      <c r="W24" s="121">
        <f t="shared" si="11"/>
        <v>15751.870199999998</v>
      </c>
      <c r="X24" s="113">
        <f t="shared" si="12"/>
        <v>1.0103388819474197</v>
      </c>
      <c r="Y24" s="113">
        <f t="shared" si="13"/>
        <v>0.94999999999999984</v>
      </c>
    </row>
    <row r="25" spans="1:25" x14ac:dyDescent="0.15">
      <c r="A25" s="114" t="s">
        <v>0</v>
      </c>
      <c r="B25" s="115" t="s">
        <v>2</v>
      </c>
      <c r="C25" s="115" t="s">
        <v>202</v>
      </c>
      <c r="D25" s="116">
        <v>55</v>
      </c>
      <c r="E25" s="117">
        <v>0.5</v>
      </c>
      <c r="F25" s="118">
        <v>1</v>
      </c>
      <c r="G25" s="119">
        <v>15</v>
      </c>
      <c r="H25" s="120">
        <v>3510.3272727272729</v>
      </c>
      <c r="I25" s="120">
        <v>-230.23636363636365</v>
      </c>
      <c r="J25" s="120">
        <v>0</v>
      </c>
      <c r="K25" s="120">
        <v>5393.8545454545456</v>
      </c>
      <c r="L25" s="120">
        <v>2538.3256727660973</v>
      </c>
      <c r="M25" s="120">
        <f t="shared" si="1"/>
        <v>193068</v>
      </c>
      <c r="N25" s="120">
        <f t="shared" si="2"/>
        <v>96534</v>
      </c>
      <c r="O25" s="120">
        <f t="shared" si="3"/>
        <v>-12663</v>
      </c>
      <c r="P25" s="120">
        <f t="shared" si="4"/>
        <v>-6331.5</v>
      </c>
      <c r="Q25" s="120">
        <f t="shared" si="5"/>
        <v>0</v>
      </c>
      <c r="R25" s="120">
        <f t="shared" si="6"/>
        <v>0</v>
      </c>
      <c r="S25" s="120">
        <f t="shared" si="7"/>
        <v>296662</v>
      </c>
      <c r="T25" s="120">
        <f t="shared" si="8"/>
        <v>148331</v>
      </c>
      <c r="U25" s="120">
        <f t="shared" si="9"/>
        <v>2896020</v>
      </c>
      <c r="V25" s="120">
        <f t="shared" si="10"/>
        <v>1448010</v>
      </c>
      <c r="W25" s="121">
        <f t="shared" si="11"/>
        <v>139607.91200213536</v>
      </c>
      <c r="X25" s="113">
        <f t="shared" si="12"/>
        <v>0.47059587005459191</v>
      </c>
      <c r="Y25" s="113">
        <f t="shared" si="13"/>
        <v>0.5</v>
      </c>
    </row>
    <row r="26" spans="1:25" x14ac:dyDescent="0.15">
      <c r="A26" s="114" t="s">
        <v>0</v>
      </c>
      <c r="B26" s="115" t="s">
        <v>2</v>
      </c>
      <c r="C26" s="115" t="s">
        <v>204</v>
      </c>
      <c r="D26" s="116">
        <v>80</v>
      </c>
      <c r="E26" s="117">
        <v>0.62</v>
      </c>
      <c r="F26" s="118">
        <v>1</v>
      </c>
      <c r="G26" s="119">
        <v>15</v>
      </c>
      <c r="H26" s="120">
        <v>7984.3249999999998</v>
      </c>
      <c r="I26" s="120">
        <v>11738.575000000001</v>
      </c>
      <c r="J26" s="120">
        <v>0</v>
      </c>
      <c r="K26" s="120">
        <v>8360.4624999999996</v>
      </c>
      <c r="L26" s="120">
        <v>4835.2381727660968</v>
      </c>
      <c r="M26" s="120">
        <f t="shared" si="1"/>
        <v>638746</v>
      </c>
      <c r="N26" s="120">
        <f t="shared" si="2"/>
        <v>396022.52</v>
      </c>
      <c r="O26" s="120">
        <f t="shared" si="3"/>
        <v>939086</v>
      </c>
      <c r="P26" s="120">
        <f t="shared" si="4"/>
        <v>582233.31999999995</v>
      </c>
      <c r="Q26" s="120">
        <f t="shared" si="5"/>
        <v>0</v>
      </c>
      <c r="R26" s="120">
        <f t="shared" si="6"/>
        <v>0</v>
      </c>
      <c r="S26" s="120">
        <f t="shared" si="7"/>
        <v>668837</v>
      </c>
      <c r="T26" s="120">
        <f t="shared" si="8"/>
        <v>414678.94</v>
      </c>
      <c r="U26" s="120">
        <f t="shared" si="9"/>
        <v>9581190</v>
      </c>
      <c r="V26" s="120">
        <f t="shared" si="10"/>
        <v>5940337.7999999998</v>
      </c>
      <c r="W26" s="121">
        <f t="shared" si="11"/>
        <v>386819.05382128776</v>
      </c>
      <c r="X26" s="113">
        <f t="shared" si="12"/>
        <v>0.57834577605797488</v>
      </c>
      <c r="Y26" s="113">
        <f t="shared" si="13"/>
        <v>0.62</v>
      </c>
    </row>
    <row r="27" spans="1:25" x14ac:dyDescent="0.15">
      <c r="A27" s="114" t="s">
        <v>0</v>
      </c>
      <c r="B27" s="115" t="s">
        <v>2</v>
      </c>
      <c r="C27" s="115" t="s">
        <v>206</v>
      </c>
      <c r="D27" s="116">
        <v>170</v>
      </c>
      <c r="E27" s="117">
        <v>7.999999999999996E-2</v>
      </c>
      <c r="F27" s="118">
        <v>1</v>
      </c>
      <c r="G27" s="119">
        <v>15.000000000000002</v>
      </c>
      <c r="H27" s="120">
        <v>1989.479294117647</v>
      </c>
      <c r="I27" s="120">
        <v>0</v>
      </c>
      <c r="J27" s="120">
        <v>0</v>
      </c>
      <c r="K27" s="120">
        <v>1011.1764705882352</v>
      </c>
      <c r="L27" s="120">
        <v>610.52567276609705</v>
      </c>
      <c r="M27" s="120">
        <f t="shared" si="1"/>
        <v>338211.48</v>
      </c>
      <c r="N27" s="120">
        <f t="shared" si="2"/>
        <v>27056.918399999984</v>
      </c>
      <c r="O27" s="120">
        <f t="shared" si="3"/>
        <v>0</v>
      </c>
      <c r="P27" s="120">
        <f t="shared" si="4"/>
        <v>0</v>
      </c>
      <c r="Q27" s="120">
        <f t="shared" si="5"/>
        <v>0</v>
      </c>
      <c r="R27" s="120">
        <f t="shared" si="6"/>
        <v>0</v>
      </c>
      <c r="S27" s="120">
        <f t="shared" si="7"/>
        <v>171900</v>
      </c>
      <c r="T27" s="120">
        <f t="shared" si="8"/>
        <v>13751.999999999993</v>
      </c>
      <c r="U27" s="120">
        <f t="shared" si="9"/>
        <v>5073172.2</v>
      </c>
      <c r="V27" s="120">
        <f t="shared" si="10"/>
        <v>405853.77599999984</v>
      </c>
      <c r="W27" s="121">
        <f t="shared" si="11"/>
        <v>103789.36437023649</v>
      </c>
      <c r="X27" s="113">
        <f t="shared" si="12"/>
        <v>0.60377757050748404</v>
      </c>
      <c r="Y27" s="113">
        <f t="shared" si="13"/>
        <v>7.999999999999996E-2</v>
      </c>
    </row>
    <row r="28" spans="1:25" x14ac:dyDescent="0.15">
      <c r="A28" s="114" t="s">
        <v>0</v>
      </c>
      <c r="B28" s="115" t="s">
        <v>2</v>
      </c>
      <c r="C28" s="115" t="s">
        <v>207</v>
      </c>
      <c r="D28" s="116">
        <v>65</v>
      </c>
      <c r="E28" s="117">
        <v>0.90000000000000013</v>
      </c>
      <c r="F28" s="118">
        <v>1</v>
      </c>
      <c r="G28" s="119">
        <v>15</v>
      </c>
      <c r="H28" s="120">
        <v>2172.9230769230771</v>
      </c>
      <c r="I28" s="120">
        <v>0</v>
      </c>
      <c r="J28" s="120">
        <v>0</v>
      </c>
      <c r="K28" s="120">
        <v>7961</v>
      </c>
      <c r="L28" s="120">
        <v>2650.5256727660972</v>
      </c>
      <c r="M28" s="120">
        <f t="shared" si="1"/>
        <v>141240</v>
      </c>
      <c r="N28" s="120">
        <f t="shared" si="2"/>
        <v>127116.00000000001</v>
      </c>
      <c r="O28" s="120">
        <f t="shared" si="3"/>
        <v>0</v>
      </c>
      <c r="P28" s="120">
        <f t="shared" si="4"/>
        <v>0</v>
      </c>
      <c r="Q28" s="120">
        <f t="shared" si="5"/>
        <v>0</v>
      </c>
      <c r="R28" s="120">
        <f t="shared" si="6"/>
        <v>0</v>
      </c>
      <c r="S28" s="120">
        <f t="shared" si="7"/>
        <v>517465</v>
      </c>
      <c r="T28" s="120">
        <f t="shared" si="8"/>
        <v>465718.50000000006</v>
      </c>
      <c r="U28" s="120">
        <f t="shared" si="9"/>
        <v>2118600</v>
      </c>
      <c r="V28" s="120">
        <f t="shared" si="10"/>
        <v>1906740.0000000002</v>
      </c>
      <c r="W28" s="121">
        <f t="shared" si="11"/>
        <v>172284.16872979631</v>
      </c>
      <c r="X28" s="113">
        <f t="shared" si="12"/>
        <v>0.33293878567593232</v>
      </c>
      <c r="Y28" s="113">
        <f t="shared" si="13"/>
        <v>0.90000000000000013</v>
      </c>
    </row>
    <row r="29" spans="1:25" x14ac:dyDescent="0.15">
      <c r="A29" s="114" t="s">
        <v>0</v>
      </c>
      <c r="B29" s="115" t="s">
        <v>2</v>
      </c>
      <c r="C29" s="115" t="s">
        <v>203</v>
      </c>
      <c r="D29" s="116">
        <v>215</v>
      </c>
      <c r="E29" s="117">
        <v>0.5</v>
      </c>
      <c r="F29" s="118">
        <v>1</v>
      </c>
      <c r="G29" s="119">
        <v>10</v>
      </c>
      <c r="H29" s="120">
        <v>2071.953488372093</v>
      </c>
      <c r="I29" s="120">
        <v>523.79069767441865</v>
      </c>
      <c r="J29" s="120">
        <v>0</v>
      </c>
      <c r="K29" s="120">
        <v>1829.7209302325582</v>
      </c>
      <c r="L29" s="120">
        <v>891.61869602191098</v>
      </c>
      <c r="M29" s="120">
        <f t="shared" si="1"/>
        <v>445470</v>
      </c>
      <c r="N29" s="120">
        <f t="shared" si="2"/>
        <v>222735</v>
      </c>
      <c r="O29" s="120">
        <f t="shared" si="3"/>
        <v>112615.00000000001</v>
      </c>
      <c r="P29" s="120">
        <f t="shared" si="4"/>
        <v>56307.500000000007</v>
      </c>
      <c r="Q29" s="120">
        <f t="shared" si="5"/>
        <v>0</v>
      </c>
      <c r="R29" s="120">
        <f t="shared" si="6"/>
        <v>0</v>
      </c>
      <c r="S29" s="120">
        <f t="shared" si="7"/>
        <v>393390</v>
      </c>
      <c r="T29" s="120">
        <f t="shared" si="8"/>
        <v>196695</v>
      </c>
      <c r="U29" s="120">
        <f t="shared" si="9"/>
        <v>4454700</v>
      </c>
      <c r="V29" s="120">
        <f t="shared" si="10"/>
        <v>2227350</v>
      </c>
      <c r="W29" s="121">
        <f t="shared" si="11"/>
        <v>191698.01964471085</v>
      </c>
      <c r="X29" s="113">
        <f t="shared" si="12"/>
        <v>0.48729764265667874</v>
      </c>
      <c r="Y29" s="113">
        <f t="shared" si="13"/>
        <v>0.5</v>
      </c>
    </row>
    <row r="30" spans="1:25" x14ac:dyDescent="0.15">
      <c r="A30" s="114" t="s">
        <v>0</v>
      </c>
      <c r="B30" s="115" t="s">
        <v>2</v>
      </c>
      <c r="C30" s="115" t="s">
        <v>208</v>
      </c>
      <c r="D30" s="116">
        <v>90</v>
      </c>
      <c r="E30" s="117">
        <v>0.30000000000000004</v>
      </c>
      <c r="F30" s="118">
        <v>1</v>
      </c>
      <c r="G30" s="119">
        <v>13.999999999999998</v>
      </c>
      <c r="H30" s="120">
        <v>1314.3733333333334</v>
      </c>
      <c r="I30" s="120">
        <v>0</v>
      </c>
      <c r="J30" s="120">
        <v>0</v>
      </c>
      <c r="K30" s="120">
        <v>2613.3777777777777</v>
      </c>
      <c r="L30" s="120">
        <v>360.613092766097</v>
      </c>
      <c r="M30" s="120">
        <f t="shared" si="1"/>
        <v>118293.6</v>
      </c>
      <c r="N30" s="120">
        <f t="shared" si="2"/>
        <v>35488.080000000009</v>
      </c>
      <c r="O30" s="120">
        <f t="shared" si="3"/>
        <v>0</v>
      </c>
      <c r="P30" s="120">
        <f t="shared" si="4"/>
        <v>0</v>
      </c>
      <c r="Q30" s="120">
        <f t="shared" si="5"/>
        <v>0</v>
      </c>
      <c r="R30" s="120">
        <f t="shared" si="6"/>
        <v>0</v>
      </c>
      <c r="S30" s="120">
        <f t="shared" si="7"/>
        <v>235204</v>
      </c>
      <c r="T30" s="120">
        <f t="shared" si="8"/>
        <v>70561.200000000012</v>
      </c>
      <c r="U30" s="120">
        <f t="shared" si="9"/>
        <v>1656110.4</v>
      </c>
      <c r="V30" s="120">
        <f t="shared" si="10"/>
        <v>496833.12000000005</v>
      </c>
      <c r="W30" s="121">
        <f t="shared" si="11"/>
        <v>32455.178348948728</v>
      </c>
      <c r="X30" s="113">
        <f t="shared" si="12"/>
        <v>0.13798735714081703</v>
      </c>
      <c r="Y30" s="113">
        <f t="shared" si="13"/>
        <v>0.30000000000000004</v>
      </c>
    </row>
    <row r="31" spans="1:25" x14ac:dyDescent="0.15">
      <c r="A31" s="114" t="s">
        <v>0</v>
      </c>
      <c r="B31" s="115" t="s">
        <v>2</v>
      </c>
      <c r="C31" s="115" t="s">
        <v>209</v>
      </c>
      <c r="D31" s="116">
        <v>590</v>
      </c>
      <c r="E31" s="117">
        <v>0.30000000000000004</v>
      </c>
      <c r="F31" s="118">
        <v>1</v>
      </c>
      <c r="G31" s="119">
        <v>14</v>
      </c>
      <c r="H31" s="120">
        <v>1537.8111355932203</v>
      </c>
      <c r="I31" s="120">
        <v>-598.03974576271185</v>
      </c>
      <c r="J31" s="120">
        <v>0</v>
      </c>
      <c r="K31" s="120">
        <v>4674.531355932204</v>
      </c>
      <c r="L31" s="120">
        <v>1113.1309044271138</v>
      </c>
      <c r="M31" s="120">
        <f t="shared" si="1"/>
        <v>907308.57</v>
      </c>
      <c r="N31" s="120">
        <f t="shared" si="2"/>
        <v>272192.571</v>
      </c>
      <c r="O31" s="120">
        <f t="shared" si="3"/>
        <v>-352843.45</v>
      </c>
      <c r="P31" s="120">
        <f t="shared" si="4"/>
        <v>-105853.03500000002</v>
      </c>
      <c r="Q31" s="120">
        <f t="shared" si="5"/>
        <v>0</v>
      </c>
      <c r="R31" s="120">
        <f t="shared" si="6"/>
        <v>0</v>
      </c>
      <c r="S31" s="120">
        <f t="shared" si="7"/>
        <v>2757973.5000000005</v>
      </c>
      <c r="T31" s="120">
        <f t="shared" si="8"/>
        <v>827392.05000000028</v>
      </c>
      <c r="U31" s="120">
        <f t="shared" si="9"/>
        <v>12702319.979999999</v>
      </c>
      <c r="V31" s="120">
        <f t="shared" si="10"/>
        <v>3810695.9939999999</v>
      </c>
      <c r="W31" s="121">
        <f t="shared" si="11"/>
        <v>656747.2336119971</v>
      </c>
      <c r="X31" s="113">
        <f t="shared" si="12"/>
        <v>0.23812673820542404</v>
      </c>
      <c r="Y31" s="113">
        <f t="shared" si="13"/>
        <v>0.30000000000000004</v>
      </c>
    </row>
    <row r="32" spans="1:25" x14ac:dyDescent="0.15">
      <c r="A32" s="114" t="s">
        <v>0</v>
      </c>
      <c r="B32" s="115" t="s">
        <v>2</v>
      </c>
      <c r="C32" s="115" t="s">
        <v>210</v>
      </c>
      <c r="D32" s="116">
        <v>12</v>
      </c>
      <c r="E32" s="117">
        <v>0.94999999999999984</v>
      </c>
      <c r="F32" s="118">
        <v>1</v>
      </c>
      <c r="G32" s="119">
        <v>14.000000000000002</v>
      </c>
      <c r="H32" s="120">
        <v>860.72333333333336</v>
      </c>
      <c r="I32" s="120">
        <v>0</v>
      </c>
      <c r="J32" s="120">
        <v>0</v>
      </c>
      <c r="K32" s="120">
        <v>3466</v>
      </c>
      <c r="L32" s="120">
        <v>794.62683276609698</v>
      </c>
      <c r="M32" s="120">
        <f t="shared" si="1"/>
        <v>10328.68</v>
      </c>
      <c r="N32" s="120">
        <f t="shared" si="2"/>
        <v>9812.2459999999992</v>
      </c>
      <c r="O32" s="120">
        <f t="shared" si="3"/>
        <v>0</v>
      </c>
      <c r="P32" s="120">
        <f t="shared" si="4"/>
        <v>0</v>
      </c>
      <c r="Q32" s="120">
        <f t="shared" si="5"/>
        <v>0</v>
      </c>
      <c r="R32" s="120">
        <f t="shared" si="6"/>
        <v>0</v>
      </c>
      <c r="S32" s="120">
        <f t="shared" si="7"/>
        <v>41592</v>
      </c>
      <c r="T32" s="120">
        <f t="shared" si="8"/>
        <v>39512.399999999994</v>
      </c>
      <c r="U32" s="120">
        <f t="shared" si="9"/>
        <v>144601.52000000002</v>
      </c>
      <c r="V32" s="120">
        <f t="shared" si="10"/>
        <v>137371.44399999999</v>
      </c>
      <c r="W32" s="121">
        <f t="shared" si="11"/>
        <v>9535.5219931931642</v>
      </c>
      <c r="X32" s="113">
        <f t="shared" si="12"/>
        <v>0.22926336779171869</v>
      </c>
      <c r="Y32" s="113">
        <f t="shared" si="13"/>
        <v>0.94999999999999984</v>
      </c>
    </row>
    <row r="33" spans="1:25" x14ac:dyDescent="0.15">
      <c r="A33" s="114" t="s">
        <v>0</v>
      </c>
      <c r="B33" s="115" t="s">
        <v>2</v>
      </c>
      <c r="C33" s="115" t="s">
        <v>211</v>
      </c>
      <c r="D33" s="116">
        <v>210</v>
      </c>
      <c r="E33" s="117">
        <v>0.94999999999999984</v>
      </c>
      <c r="F33" s="118">
        <v>1</v>
      </c>
      <c r="G33" s="119">
        <v>13.999999999999996</v>
      </c>
      <c r="H33" s="120">
        <v>1362.5860000000002</v>
      </c>
      <c r="I33" s="120">
        <v>-624.19180952380952</v>
      </c>
      <c r="J33" s="120">
        <v>0</v>
      </c>
      <c r="K33" s="120">
        <v>3548.8445238095237</v>
      </c>
      <c r="L33" s="120">
        <v>1066.2734634803826</v>
      </c>
      <c r="M33" s="120">
        <f t="shared" si="1"/>
        <v>286143.06000000006</v>
      </c>
      <c r="N33" s="120">
        <f t="shared" si="2"/>
        <v>271835.90700000001</v>
      </c>
      <c r="O33" s="120">
        <f t="shared" si="3"/>
        <v>-131080.28</v>
      </c>
      <c r="P33" s="120">
        <f t="shared" si="4"/>
        <v>-124526.26599999997</v>
      </c>
      <c r="Q33" s="120">
        <f t="shared" si="5"/>
        <v>0</v>
      </c>
      <c r="R33" s="120">
        <f t="shared" si="6"/>
        <v>0</v>
      </c>
      <c r="S33" s="120">
        <f t="shared" si="7"/>
        <v>745257.35</v>
      </c>
      <c r="T33" s="120">
        <f t="shared" si="8"/>
        <v>707994.48249999981</v>
      </c>
      <c r="U33" s="120">
        <f t="shared" si="9"/>
        <v>4006002.84</v>
      </c>
      <c r="V33" s="120">
        <f t="shared" si="10"/>
        <v>3805702.6979999994</v>
      </c>
      <c r="W33" s="121">
        <f t="shared" si="11"/>
        <v>223917.42733088034</v>
      </c>
      <c r="X33" s="113">
        <f t="shared" si="12"/>
        <v>0.30045651657226907</v>
      </c>
      <c r="Y33" s="113">
        <f t="shared" si="13"/>
        <v>0.94999999999999984</v>
      </c>
    </row>
    <row r="34" spans="1:25" x14ac:dyDescent="0.15">
      <c r="A34" s="114" t="s">
        <v>0</v>
      </c>
      <c r="B34" s="115" t="s">
        <v>2</v>
      </c>
      <c r="C34" s="115" t="s">
        <v>212</v>
      </c>
      <c r="D34" s="116">
        <v>20</v>
      </c>
      <c r="E34" s="117">
        <v>0.95000000000000007</v>
      </c>
      <c r="F34" s="118">
        <v>1</v>
      </c>
      <c r="G34" s="119">
        <v>20.000000000000004</v>
      </c>
      <c r="H34" s="120">
        <v>8347.5799999999981</v>
      </c>
      <c r="I34" s="120">
        <v>7333.08</v>
      </c>
      <c r="J34" s="120">
        <v>0</v>
      </c>
      <c r="K34" s="120">
        <v>4973.5919999999996</v>
      </c>
      <c r="L34" s="120">
        <v>4321.7956727660976</v>
      </c>
      <c r="M34" s="120">
        <f t="shared" si="1"/>
        <v>166951.59999999998</v>
      </c>
      <c r="N34" s="120">
        <f t="shared" si="2"/>
        <v>158604.01999999999</v>
      </c>
      <c r="O34" s="120">
        <f t="shared" si="3"/>
        <v>146661.6</v>
      </c>
      <c r="P34" s="120">
        <f t="shared" si="4"/>
        <v>139328.52000000002</v>
      </c>
      <c r="Q34" s="120">
        <f t="shared" si="5"/>
        <v>0</v>
      </c>
      <c r="R34" s="120">
        <f t="shared" si="6"/>
        <v>0</v>
      </c>
      <c r="S34" s="120">
        <f t="shared" si="7"/>
        <v>99471.84</v>
      </c>
      <c r="T34" s="120">
        <f t="shared" si="8"/>
        <v>94498.248000000007</v>
      </c>
      <c r="U34" s="120">
        <f t="shared" si="9"/>
        <v>3339032</v>
      </c>
      <c r="V34" s="120">
        <f t="shared" si="10"/>
        <v>3172080.4000000004</v>
      </c>
      <c r="W34" s="121">
        <f t="shared" si="11"/>
        <v>86435.913455321948</v>
      </c>
      <c r="X34" s="113">
        <f t="shared" si="12"/>
        <v>0.86894857333816244</v>
      </c>
      <c r="Y34" s="113">
        <f t="shared" si="13"/>
        <v>0.95000000000000007</v>
      </c>
    </row>
    <row r="35" spans="1:25" x14ac:dyDescent="0.15">
      <c r="A35" s="114" t="s">
        <v>0</v>
      </c>
      <c r="B35" s="115" t="s">
        <v>2</v>
      </c>
      <c r="C35" s="115" t="s">
        <v>205</v>
      </c>
      <c r="D35" s="116">
        <v>15</v>
      </c>
      <c r="E35" s="117">
        <v>0.91999999999999993</v>
      </c>
      <c r="F35" s="118">
        <v>1</v>
      </c>
      <c r="G35" s="119">
        <v>14.999999999999998</v>
      </c>
      <c r="H35" s="120">
        <v>8463.02844</v>
      </c>
      <c r="I35" s="120">
        <v>470.65928400000001</v>
      </c>
      <c r="J35" s="120">
        <v>459.6109439999999</v>
      </c>
      <c r="K35" s="120">
        <v>23714</v>
      </c>
      <c r="L35" s="120">
        <v>9115.9711127660958</v>
      </c>
      <c r="M35" s="120">
        <f t="shared" si="1"/>
        <v>126945.42660000001</v>
      </c>
      <c r="N35" s="120">
        <f t="shared" si="2"/>
        <v>116789.792472</v>
      </c>
      <c r="O35" s="120">
        <f t="shared" si="3"/>
        <v>7059.8892599999999</v>
      </c>
      <c r="P35" s="120">
        <f t="shared" si="4"/>
        <v>6495.098119199999</v>
      </c>
      <c r="Q35" s="120">
        <f t="shared" si="5"/>
        <v>6894.1641599999984</v>
      </c>
      <c r="R35" s="120">
        <f t="shared" si="6"/>
        <v>6342.6310271999982</v>
      </c>
      <c r="S35" s="120">
        <f t="shared" si="7"/>
        <v>355710</v>
      </c>
      <c r="T35" s="120">
        <f t="shared" si="8"/>
        <v>327253.19999999995</v>
      </c>
      <c r="U35" s="120">
        <f t="shared" si="9"/>
        <v>1904181.399</v>
      </c>
      <c r="V35" s="120">
        <f t="shared" si="10"/>
        <v>1751846.8870799998</v>
      </c>
      <c r="W35" s="121">
        <f t="shared" si="11"/>
        <v>136739.56669149143</v>
      </c>
      <c r="X35" s="113">
        <f t="shared" si="12"/>
        <v>0.38441305190040043</v>
      </c>
      <c r="Y35" s="113">
        <f t="shared" si="13"/>
        <v>0.91999999999999993</v>
      </c>
    </row>
    <row r="36" spans="1:25" x14ac:dyDescent="0.15">
      <c r="A36" s="114" t="s">
        <v>0</v>
      </c>
      <c r="B36" s="115" t="s">
        <v>4</v>
      </c>
      <c r="C36" s="115" t="s">
        <v>213</v>
      </c>
      <c r="D36" s="116">
        <v>28</v>
      </c>
      <c r="E36" s="117">
        <v>1</v>
      </c>
      <c r="F36" s="118">
        <v>1</v>
      </c>
      <c r="G36" s="119">
        <v>18.000000000000004</v>
      </c>
      <c r="H36" s="120">
        <v>1124.575</v>
      </c>
      <c r="I36" s="120">
        <v>-413</v>
      </c>
      <c r="J36" s="120">
        <v>0</v>
      </c>
      <c r="K36" s="120">
        <v>2160.75</v>
      </c>
      <c r="L36" s="120">
        <v>381.2008704253214</v>
      </c>
      <c r="M36" s="120">
        <f t="shared" si="1"/>
        <v>31488.100000000002</v>
      </c>
      <c r="N36" s="120">
        <f t="shared" si="2"/>
        <v>31488.100000000002</v>
      </c>
      <c r="O36" s="120">
        <f t="shared" si="3"/>
        <v>-11564</v>
      </c>
      <c r="P36" s="120">
        <f t="shared" si="4"/>
        <v>-11564</v>
      </c>
      <c r="Q36" s="120">
        <f t="shared" si="5"/>
        <v>0</v>
      </c>
      <c r="R36" s="120">
        <f t="shared" si="6"/>
        <v>0</v>
      </c>
      <c r="S36" s="120">
        <f t="shared" si="7"/>
        <v>60501</v>
      </c>
      <c r="T36" s="120">
        <f t="shared" si="8"/>
        <v>60501</v>
      </c>
      <c r="U36" s="120">
        <f t="shared" si="9"/>
        <v>566785.80000000016</v>
      </c>
      <c r="V36" s="120">
        <f t="shared" si="10"/>
        <v>566785.80000000016</v>
      </c>
      <c r="W36" s="121">
        <f t="shared" si="11"/>
        <v>10673.624371909</v>
      </c>
      <c r="X36" s="113">
        <f t="shared" si="12"/>
        <v>0.17642062729391247</v>
      </c>
      <c r="Y36" s="113">
        <f t="shared" si="13"/>
        <v>1</v>
      </c>
    </row>
    <row r="37" spans="1:25" x14ac:dyDescent="0.15">
      <c r="A37" s="114" t="s">
        <v>0</v>
      </c>
      <c r="B37" s="115" t="s">
        <v>4</v>
      </c>
      <c r="C37" s="115" t="s">
        <v>214</v>
      </c>
      <c r="D37" s="116">
        <v>12</v>
      </c>
      <c r="E37" s="117">
        <v>0.79999999999999993</v>
      </c>
      <c r="F37" s="118">
        <v>1</v>
      </c>
      <c r="G37" s="119">
        <v>12</v>
      </c>
      <c r="H37" s="120">
        <v>3556.5833333333335</v>
      </c>
      <c r="I37" s="120">
        <v>0</v>
      </c>
      <c r="J37" s="120">
        <v>0</v>
      </c>
      <c r="K37" s="120">
        <v>1900</v>
      </c>
      <c r="L37" s="120">
        <v>285.90065281899109</v>
      </c>
      <c r="M37" s="120">
        <f t="shared" si="1"/>
        <v>42679</v>
      </c>
      <c r="N37" s="120">
        <f t="shared" si="2"/>
        <v>34143.199999999997</v>
      </c>
      <c r="O37" s="120">
        <f t="shared" si="3"/>
        <v>0</v>
      </c>
      <c r="P37" s="120">
        <f t="shared" si="4"/>
        <v>0</v>
      </c>
      <c r="Q37" s="120">
        <f t="shared" si="5"/>
        <v>0</v>
      </c>
      <c r="R37" s="120">
        <f t="shared" si="6"/>
        <v>0</v>
      </c>
      <c r="S37" s="120">
        <f t="shared" si="7"/>
        <v>22800</v>
      </c>
      <c r="T37" s="120">
        <f t="shared" si="8"/>
        <v>18240</v>
      </c>
      <c r="U37" s="120">
        <f t="shared" si="9"/>
        <v>512148</v>
      </c>
      <c r="V37" s="120">
        <f t="shared" si="10"/>
        <v>409718.39999999997</v>
      </c>
      <c r="W37" s="121">
        <f t="shared" si="11"/>
        <v>3430.8078338278929</v>
      </c>
      <c r="X37" s="113">
        <f t="shared" si="12"/>
        <v>0.150474027799469</v>
      </c>
      <c r="Y37" s="113">
        <f t="shared" si="13"/>
        <v>0.79999999999999993</v>
      </c>
    </row>
    <row r="38" spans="1:25" x14ac:dyDescent="0.15">
      <c r="A38" s="114" t="s">
        <v>0</v>
      </c>
      <c r="B38" s="115" t="s">
        <v>4</v>
      </c>
      <c r="C38" s="115" t="s">
        <v>215</v>
      </c>
      <c r="D38" s="116">
        <v>137</v>
      </c>
      <c r="E38" s="117">
        <v>0.98000000000000009</v>
      </c>
      <c r="F38" s="118">
        <v>1</v>
      </c>
      <c r="G38" s="119">
        <v>20</v>
      </c>
      <c r="H38" s="120">
        <v>466.48691240875911</v>
      </c>
      <c r="I38" s="120">
        <v>0</v>
      </c>
      <c r="J38" s="120">
        <v>0</v>
      </c>
      <c r="K38" s="120">
        <v>2227</v>
      </c>
      <c r="L38" s="120">
        <v>171.54039169139466</v>
      </c>
      <c r="M38" s="120">
        <f t="shared" si="1"/>
        <v>63908.706999999995</v>
      </c>
      <c r="N38" s="120">
        <f t="shared" si="2"/>
        <v>62630.532859999999</v>
      </c>
      <c r="O38" s="120">
        <f t="shared" si="3"/>
        <v>0</v>
      </c>
      <c r="P38" s="120">
        <f t="shared" si="4"/>
        <v>0</v>
      </c>
      <c r="Q38" s="120">
        <f t="shared" si="5"/>
        <v>0</v>
      </c>
      <c r="R38" s="120">
        <f t="shared" si="6"/>
        <v>0</v>
      </c>
      <c r="S38" s="120">
        <f t="shared" si="7"/>
        <v>305099</v>
      </c>
      <c r="T38" s="120">
        <f t="shared" si="8"/>
        <v>298997.02</v>
      </c>
      <c r="U38" s="120">
        <f t="shared" si="9"/>
        <v>1278174.1399999999</v>
      </c>
      <c r="V38" s="120">
        <f t="shared" si="10"/>
        <v>1252610.6572</v>
      </c>
      <c r="W38" s="121">
        <f t="shared" si="11"/>
        <v>23501.033661721067</v>
      </c>
      <c r="X38" s="113">
        <f t="shared" si="12"/>
        <v>7.7027566992094593E-2</v>
      </c>
      <c r="Y38" s="113">
        <f t="shared" si="13"/>
        <v>0.98000000000000009</v>
      </c>
    </row>
    <row r="39" spans="1:25" x14ac:dyDescent="0.15">
      <c r="A39" s="114" t="s">
        <v>0</v>
      </c>
      <c r="B39" s="115" t="s">
        <v>4</v>
      </c>
      <c r="C39" s="115" t="s">
        <v>216</v>
      </c>
      <c r="D39" s="116">
        <v>650</v>
      </c>
      <c r="E39" s="117">
        <v>0.8</v>
      </c>
      <c r="F39" s="118">
        <v>1</v>
      </c>
      <c r="G39" s="119">
        <v>12</v>
      </c>
      <c r="H39" s="120">
        <v>1408</v>
      </c>
      <c r="I39" s="120">
        <v>0</v>
      </c>
      <c r="J39" s="120">
        <v>0</v>
      </c>
      <c r="K39" s="120">
        <v>2476</v>
      </c>
      <c r="L39" s="120">
        <v>285.90065281899109</v>
      </c>
      <c r="M39" s="120">
        <f t="shared" si="1"/>
        <v>915200</v>
      </c>
      <c r="N39" s="120">
        <f t="shared" si="2"/>
        <v>732160</v>
      </c>
      <c r="O39" s="120">
        <f t="shared" si="3"/>
        <v>0</v>
      </c>
      <c r="P39" s="120">
        <f t="shared" si="4"/>
        <v>0</v>
      </c>
      <c r="Q39" s="120">
        <f t="shared" si="5"/>
        <v>0</v>
      </c>
      <c r="R39" s="120">
        <f t="shared" si="6"/>
        <v>0</v>
      </c>
      <c r="S39" s="120">
        <f t="shared" si="7"/>
        <v>1609400</v>
      </c>
      <c r="T39" s="120">
        <f t="shared" si="8"/>
        <v>1287520</v>
      </c>
      <c r="U39" s="120">
        <f t="shared" si="9"/>
        <v>10982400</v>
      </c>
      <c r="V39" s="120">
        <f t="shared" si="10"/>
        <v>8785920</v>
      </c>
      <c r="W39" s="121">
        <f t="shared" si="11"/>
        <v>185835.42433234421</v>
      </c>
      <c r="X39" s="113">
        <f t="shared" si="12"/>
        <v>0.11546876123545682</v>
      </c>
      <c r="Y39" s="113">
        <f t="shared" si="13"/>
        <v>0.8</v>
      </c>
    </row>
    <row r="40" spans="1:25" x14ac:dyDescent="0.15">
      <c r="A40" s="114" t="s">
        <v>0</v>
      </c>
      <c r="B40" s="115" t="s">
        <v>4</v>
      </c>
      <c r="C40" s="115" t="s">
        <v>217</v>
      </c>
      <c r="D40" s="116">
        <v>11</v>
      </c>
      <c r="E40" s="117">
        <v>0.8</v>
      </c>
      <c r="F40" s="118">
        <v>1</v>
      </c>
      <c r="G40" s="119">
        <v>12</v>
      </c>
      <c r="H40" s="120">
        <v>8889</v>
      </c>
      <c r="I40" s="120">
        <v>0</v>
      </c>
      <c r="J40" s="120">
        <v>340.142</v>
      </c>
      <c r="K40" s="120">
        <v>3880</v>
      </c>
      <c r="L40" s="120">
        <v>381.20087042532145</v>
      </c>
      <c r="M40" s="120">
        <f t="shared" si="1"/>
        <v>97779</v>
      </c>
      <c r="N40" s="120">
        <f t="shared" si="2"/>
        <v>78223.199999999997</v>
      </c>
      <c r="O40" s="120">
        <f t="shared" si="3"/>
        <v>0</v>
      </c>
      <c r="P40" s="120">
        <f t="shared" si="4"/>
        <v>0</v>
      </c>
      <c r="Q40" s="120">
        <f t="shared" si="5"/>
        <v>3741.5619999999999</v>
      </c>
      <c r="R40" s="120">
        <f t="shared" si="6"/>
        <v>2993.2496000000001</v>
      </c>
      <c r="S40" s="120">
        <f t="shared" si="7"/>
        <v>42680</v>
      </c>
      <c r="T40" s="120">
        <f t="shared" si="8"/>
        <v>34144</v>
      </c>
      <c r="U40" s="120">
        <f t="shared" si="9"/>
        <v>1173348</v>
      </c>
      <c r="V40" s="120">
        <f t="shared" si="10"/>
        <v>938678.4</v>
      </c>
      <c r="W40" s="121">
        <f t="shared" si="11"/>
        <v>4193.2095746785362</v>
      </c>
      <c r="X40" s="113">
        <f t="shared" si="12"/>
        <v>9.8247647016835429E-2</v>
      </c>
      <c r="Y40" s="113">
        <f t="shared" si="13"/>
        <v>0.8</v>
      </c>
    </row>
    <row r="41" spans="1:25" x14ac:dyDescent="0.15">
      <c r="A41" s="114" t="s">
        <v>0</v>
      </c>
      <c r="B41" s="115" t="s">
        <v>4</v>
      </c>
      <c r="C41" s="115" t="s">
        <v>218</v>
      </c>
      <c r="D41" s="116">
        <v>11</v>
      </c>
      <c r="E41" s="117">
        <v>0.8</v>
      </c>
      <c r="F41" s="118">
        <v>1</v>
      </c>
      <c r="G41" s="119">
        <v>12</v>
      </c>
      <c r="H41" s="120">
        <v>865</v>
      </c>
      <c r="I41" s="120">
        <v>40.1</v>
      </c>
      <c r="J41" s="120">
        <v>0</v>
      </c>
      <c r="K41" s="120">
        <v>1200</v>
      </c>
      <c r="L41" s="120">
        <v>285.90065281899109</v>
      </c>
      <c r="M41" s="120">
        <f t="shared" si="1"/>
        <v>9515</v>
      </c>
      <c r="N41" s="120">
        <f t="shared" si="2"/>
        <v>7612</v>
      </c>
      <c r="O41" s="120">
        <f t="shared" si="3"/>
        <v>441.1</v>
      </c>
      <c r="P41" s="120">
        <f t="shared" si="4"/>
        <v>352.88000000000005</v>
      </c>
      <c r="Q41" s="120">
        <f t="shared" si="5"/>
        <v>0</v>
      </c>
      <c r="R41" s="120">
        <f t="shared" si="6"/>
        <v>0</v>
      </c>
      <c r="S41" s="120">
        <f t="shared" si="7"/>
        <v>13200</v>
      </c>
      <c r="T41" s="120">
        <f t="shared" si="8"/>
        <v>10560</v>
      </c>
      <c r="U41" s="120">
        <f t="shared" si="9"/>
        <v>114180</v>
      </c>
      <c r="V41" s="120">
        <f t="shared" si="10"/>
        <v>91344</v>
      </c>
      <c r="W41" s="121">
        <f t="shared" si="11"/>
        <v>3144.9071810089022</v>
      </c>
      <c r="X41" s="113">
        <f t="shared" si="12"/>
        <v>0.2382505440158259</v>
      </c>
      <c r="Y41" s="113">
        <f t="shared" si="13"/>
        <v>0.8</v>
      </c>
    </row>
    <row r="42" spans="1:25" x14ac:dyDescent="0.15">
      <c r="A42" s="114" t="s">
        <v>0</v>
      </c>
      <c r="B42" s="115" t="s">
        <v>4</v>
      </c>
      <c r="C42" s="115" t="s">
        <v>219</v>
      </c>
      <c r="D42" s="116">
        <v>33</v>
      </c>
      <c r="E42" s="117">
        <v>0.8</v>
      </c>
      <c r="F42" s="118">
        <v>1</v>
      </c>
      <c r="G42" s="119">
        <v>12</v>
      </c>
      <c r="H42" s="120">
        <v>830</v>
      </c>
      <c r="I42" s="120">
        <v>749</v>
      </c>
      <c r="J42" s="120">
        <v>0</v>
      </c>
      <c r="K42" s="120">
        <v>1544</v>
      </c>
      <c r="L42" s="120">
        <v>285.90065281899103</v>
      </c>
      <c r="M42" s="120">
        <f t="shared" si="1"/>
        <v>27390</v>
      </c>
      <c r="N42" s="120">
        <f t="shared" si="2"/>
        <v>21912</v>
      </c>
      <c r="O42" s="120">
        <f t="shared" si="3"/>
        <v>24717</v>
      </c>
      <c r="P42" s="120">
        <f t="shared" si="4"/>
        <v>19773.600000000002</v>
      </c>
      <c r="Q42" s="120">
        <f t="shared" si="5"/>
        <v>0</v>
      </c>
      <c r="R42" s="120">
        <f t="shared" si="6"/>
        <v>0</v>
      </c>
      <c r="S42" s="120">
        <f t="shared" si="7"/>
        <v>50952</v>
      </c>
      <c r="T42" s="120">
        <f t="shared" si="8"/>
        <v>40761.600000000006</v>
      </c>
      <c r="U42" s="120">
        <f t="shared" si="9"/>
        <v>328680</v>
      </c>
      <c r="V42" s="120">
        <f t="shared" si="10"/>
        <v>262944</v>
      </c>
      <c r="W42" s="121">
        <f t="shared" si="11"/>
        <v>9434.7215430267042</v>
      </c>
      <c r="X42" s="113">
        <f t="shared" si="12"/>
        <v>0.18516881659261078</v>
      </c>
      <c r="Y42" s="113">
        <f t="shared" si="13"/>
        <v>0.8</v>
      </c>
    </row>
    <row r="43" spans="1:25" x14ac:dyDescent="0.15">
      <c r="A43" s="114" t="s">
        <v>0</v>
      </c>
      <c r="B43" s="115" t="s">
        <v>4</v>
      </c>
      <c r="C43" s="115" t="s">
        <v>220</v>
      </c>
      <c r="D43" s="116">
        <v>33</v>
      </c>
      <c r="E43" s="117">
        <v>0.8</v>
      </c>
      <c r="F43" s="118">
        <v>1</v>
      </c>
      <c r="G43" s="119">
        <v>12</v>
      </c>
      <c r="H43" s="120">
        <v>1076</v>
      </c>
      <c r="I43" s="120">
        <v>1685</v>
      </c>
      <c r="J43" s="120">
        <v>0</v>
      </c>
      <c r="K43" s="120">
        <v>2591</v>
      </c>
      <c r="L43" s="120">
        <v>343.08078338278926</v>
      </c>
      <c r="M43" s="120">
        <f t="shared" si="1"/>
        <v>35508</v>
      </c>
      <c r="N43" s="120">
        <f t="shared" si="2"/>
        <v>28406.400000000001</v>
      </c>
      <c r="O43" s="120">
        <f t="shared" si="3"/>
        <v>55605</v>
      </c>
      <c r="P43" s="120">
        <f t="shared" si="4"/>
        <v>44484</v>
      </c>
      <c r="Q43" s="120">
        <f t="shared" si="5"/>
        <v>0</v>
      </c>
      <c r="R43" s="120">
        <f t="shared" si="6"/>
        <v>0</v>
      </c>
      <c r="S43" s="120">
        <f t="shared" si="7"/>
        <v>85503</v>
      </c>
      <c r="T43" s="120">
        <f t="shared" si="8"/>
        <v>68402.400000000009</v>
      </c>
      <c r="U43" s="120">
        <f t="shared" si="9"/>
        <v>426096</v>
      </c>
      <c r="V43" s="120">
        <f t="shared" si="10"/>
        <v>340876.80000000005</v>
      </c>
      <c r="W43" s="121">
        <f t="shared" si="11"/>
        <v>11321.665851632046</v>
      </c>
      <c r="X43" s="113">
        <f t="shared" si="12"/>
        <v>0.13241249841095687</v>
      </c>
      <c r="Y43" s="113">
        <f t="shared" si="13"/>
        <v>0.8</v>
      </c>
    </row>
    <row r="44" spans="1:25" x14ac:dyDescent="0.15">
      <c r="A44" s="114" t="s">
        <v>0</v>
      </c>
      <c r="B44" s="115" t="s">
        <v>4</v>
      </c>
      <c r="C44" s="115" t="s">
        <v>221</v>
      </c>
      <c r="D44" s="116">
        <v>450</v>
      </c>
      <c r="E44" s="117">
        <v>0.8</v>
      </c>
      <c r="F44" s="118">
        <v>1</v>
      </c>
      <c r="G44" s="119">
        <v>12</v>
      </c>
      <c r="H44" s="120">
        <v>2287</v>
      </c>
      <c r="I44" s="120">
        <v>0</v>
      </c>
      <c r="J44" s="120">
        <v>0</v>
      </c>
      <c r="K44" s="120">
        <v>4470</v>
      </c>
      <c r="L44" s="120">
        <v>476.50108803165176</v>
      </c>
      <c r="M44" s="120">
        <f t="shared" si="1"/>
        <v>1029150</v>
      </c>
      <c r="N44" s="120">
        <f t="shared" si="2"/>
        <v>823320</v>
      </c>
      <c r="O44" s="120">
        <f t="shared" si="3"/>
        <v>0</v>
      </c>
      <c r="P44" s="120">
        <f t="shared" si="4"/>
        <v>0</v>
      </c>
      <c r="Q44" s="120">
        <f t="shared" si="5"/>
        <v>0</v>
      </c>
      <c r="R44" s="120">
        <f t="shared" si="6"/>
        <v>0</v>
      </c>
      <c r="S44" s="120">
        <f t="shared" si="7"/>
        <v>2011500</v>
      </c>
      <c r="T44" s="120">
        <f t="shared" si="8"/>
        <v>1609200</v>
      </c>
      <c r="U44" s="120">
        <f t="shared" si="9"/>
        <v>12349800</v>
      </c>
      <c r="V44" s="120">
        <f t="shared" si="10"/>
        <v>9879840</v>
      </c>
      <c r="W44" s="121">
        <f t="shared" si="11"/>
        <v>214425.4896142433</v>
      </c>
      <c r="X44" s="113">
        <f t="shared" si="12"/>
        <v>0.10659979598023529</v>
      </c>
      <c r="Y44" s="113">
        <f t="shared" si="13"/>
        <v>0.8</v>
      </c>
    </row>
    <row r="45" spans="1:25" x14ac:dyDescent="0.15">
      <c r="A45" s="114" t="s">
        <v>0</v>
      </c>
      <c r="B45" s="115" t="s">
        <v>4</v>
      </c>
      <c r="C45" s="115" t="s">
        <v>222</v>
      </c>
      <c r="D45" s="116">
        <v>120</v>
      </c>
      <c r="E45" s="117">
        <v>0.8</v>
      </c>
      <c r="F45" s="118">
        <v>1</v>
      </c>
      <c r="G45" s="119">
        <v>12</v>
      </c>
      <c r="H45" s="120">
        <v>534</v>
      </c>
      <c r="I45" s="120">
        <v>0</v>
      </c>
      <c r="J45" s="120">
        <v>0</v>
      </c>
      <c r="K45" s="120">
        <v>1069</v>
      </c>
      <c r="L45" s="120">
        <v>95.300217606330349</v>
      </c>
      <c r="M45" s="120">
        <f t="shared" si="1"/>
        <v>64080</v>
      </c>
      <c r="N45" s="120">
        <f t="shared" si="2"/>
        <v>51264</v>
      </c>
      <c r="O45" s="120">
        <f t="shared" si="3"/>
        <v>0</v>
      </c>
      <c r="P45" s="120">
        <f t="shared" si="4"/>
        <v>0</v>
      </c>
      <c r="Q45" s="120">
        <f t="shared" si="5"/>
        <v>0</v>
      </c>
      <c r="R45" s="120">
        <f t="shared" si="6"/>
        <v>0</v>
      </c>
      <c r="S45" s="120">
        <f t="shared" si="7"/>
        <v>128280</v>
      </c>
      <c r="T45" s="120">
        <f t="shared" si="8"/>
        <v>102624</v>
      </c>
      <c r="U45" s="120">
        <f t="shared" si="9"/>
        <v>768960</v>
      </c>
      <c r="V45" s="120">
        <f t="shared" si="10"/>
        <v>615168</v>
      </c>
      <c r="W45" s="121">
        <f t="shared" si="11"/>
        <v>11436.026112759642</v>
      </c>
      <c r="X45" s="113">
        <f t="shared" si="12"/>
        <v>8.9148940698157486E-2</v>
      </c>
      <c r="Y45" s="113">
        <f t="shared" si="13"/>
        <v>0.8</v>
      </c>
    </row>
    <row r="46" spans="1:25" x14ac:dyDescent="0.15">
      <c r="A46" s="114" t="s">
        <v>0</v>
      </c>
      <c r="B46" s="115" t="s">
        <v>4</v>
      </c>
      <c r="C46" s="115" t="s">
        <v>223</v>
      </c>
      <c r="D46" s="116">
        <v>90</v>
      </c>
      <c r="E46" s="117">
        <v>0.8</v>
      </c>
      <c r="F46" s="118">
        <v>1</v>
      </c>
      <c r="G46" s="119">
        <v>12</v>
      </c>
      <c r="H46" s="120">
        <v>2175</v>
      </c>
      <c r="I46" s="120">
        <v>0</v>
      </c>
      <c r="J46" s="120">
        <v>0</v>
      </c>
      <c r="K46" s="120">
        <v>3613</v>
      </c>
      <c r="L46" s="120">
        <v>476.50108803165182</v>
      </c>
      <c r="M46" s="120">
        <f t="shared" si="1"/>
        <v>195750</v>
      </c>
      <c r="N46" s="120">
        <f t="shared" si="2"/>
        <v>156600</v>
      </c>
      <c r="O46" s="120">
        <f t="shared" si="3"/>
        <v>0</v>
      </c>
      <c r="P46" s="120">
        <f t="shared" si="4"/>
        <v>0</v>
      </c>
      <c r="Q46" s="120">
        <f t="shared" si="5"/>
        <v>0</v>
      </c>
      <c r="R46" s="120">
        <f t="shared" si="6"/>
        <v>0</v>
      </c>
      <c r="S46" s="120">
        <f t="shared" si="7"/>
        <v>325170</v>
      </c>
      <c r="T46" s="120">
        <f t="shared" si="8"/>
        <v>260136</v>
      </c>
      <c r="U46" s="120">
        <f t="shared" si="9"/>
        <v>2349000</v>
      </c>
      <c r="V46" s="120">
        <f t="shared" si="10"/>
        <v>1879200</v>
      </c>
      <c r="W46" s="121">
        <f t="shared" si="11"/>
        <v>42885.097922848661</v>
      </c>
      <c r="X46" s="113">
        <f t="shared" si="12"/>
        <v>0.13188516137050976</v>
      </c>
      <c r="Y46" s="113">
        <f t="shared" si="13"/>
        <v>0.8</v>
      </c>
    </row>
    <row r="47" spans="1:25" x14ac:dyDescent="0.15">
      <c r="A47" s="114" t="s">
        <v>64</v>
      </c>
      <c r="B47" s="115" t="s">
        <v>65</v>
      </c>
      <c r="C47" s="115" t="s">
        <v>194</v>
      </c>
      <c r="D47" s="116">
        <v>162</v>
      </c>
      <c r="E47" s="117">
        <v>1</v>
      </c>
      <c r="F47" s="118">
        <v>1</v>
      </c>
      <c r="G47" s="119">
        <v>19.703659220305273</v>
      </c>
      <c r="H47" s="120">
        <v>30960.518518518518</v>
      </c>
      <c r="I47" s="120">
        <v>2811.2246913580248</v>
      </c>
      <c r="J47" s="120">
        <v>0</v>
      </c>
      <c r="K47" s="120">
        <v>21563.547654320988</v>
      </c>
      <c r="L47" s="120">
        <v>37676.716049382718</v>
      </c>
      <c r="M47" s="120">
        <f t="shared" si="1"/>
        <v>5015604</v>
      </c>
      <c r="N47" s="120">
        <f t="shared" si="2"/>
        <v>5015604</v>
      </c>
      <c r="O47" s="120">
        <f t="shared" si="3"/>
        <v>455418.4</v>
      </c>
      <c r="P47" s="120">
        <f t="shared" si="4"/>
        <v>455418.4</v>
      </c>
      <c r="Q47" s="120">
        <f t="shared" si="5"/>
        <v>0</v>
      </c>
      <c r="R47" s="120">
        <f t="shared" si="6"/>
        <v>0</v>
      </c>
      <c r="S47" s="120">
        <f t="shared" si="7"/>
        <v>3493294.72</v>
      </c>
      <c r="T47" s="120">
        <f t="shared" si="8"/>
        <v>3493294.72</v>
      </c>
      <c r="U47" s="120">
        <f t="shared" si="9"/>
        <v>98825752</v>
      </c>
      <c r="V47" s="120">
        <f t="shared" si="10"/>
        <v>98825752</v>
      </c>
      <c r="W47" s="121">
        <f t="shared" si="11"/>
        <v>6103628</v>
      </c>
      <c r="X47" s="113">
        <f t="shared" si="12"/>
        <v>1.7472410687409736</v>
      </c>
      <c r="Y47" s="113">
        <f t="shared" si="13"/>
        <v>1</v>
      </c>
    </row>
    <row r="48" spans="1:25" x14ac:dyDescent="0.15">
      <c r="A48" s="114" t="s">
        <v>64</v>
      </c>
      <c r="B48" s="115" t="s">
        <v>164</v>
      </c>
      <c r="C48" s="115" t="s">
        <v>224</v>
      </c>
      <c r="D48" s="116">
        <v>2800</v>
      </c>
      <c r="E48" s="117">
        <v>1</v>
      </c>
      <c r="F48" s="118">
        <v>1</v>
      </c>
      <c r="G48" s="119">
        <v>25</v>
      </c>
      <c r="H48" s="120">
        <v>826.5</v>
      </c>
      <c r="I48" s="120">
        <v>140</v>
      </c>
      <c r="J48" s="120">
        <v>0</v>
      </c>
      <c r="K48" s="120">
        <v>2993</v>
      </c>
      <c r="L48" s="120">
        <v>3094.7174303571428</v>
      </c>
      <c r="M48" s="120">
        <f t="shared" si="1"/>
        <v>2314200</v>
      </c>
      <c r="N48" s="120">
        <f t="shared" si="2"/>
        <v>2314200</v>
      </c>
      <c r="O48" s="120">
        <f t="shared" si="3"/>
        <v>392000</v>
      </c>
      <c r="P48" s="120">
        <f t="shared" si="4"/>
        <v>392000</v>
      </c>
      <c r="Q48" s="120">
        <f t="shared" si="5"/>
        <v>0</v>
      </c>
      <c r="R48" s="120">
        <f t="shared" si="6"/>
        <v>0</v>
      </c>
      <c r="S48" s="120">
        <f t="shared" si="7"/>
        <v>8380400</v>
      </c>
      <c r="T48" s="120">
        <f t="shared" si="8"/>
        <v>8380400</v>
      </c>
      <c r="U48" s="120">
        <f t="shared" si="9"/>
        <v>57855000</v>
      </c>
      <c r="V48" s="120">
        <f t="shared" si="10"/>
        <v>57855000</v>
      </c>
      <c r="W48" s="121">
        <f t="shared" si="11"/>
        <v>8665208.8049999997</v>
      </c>
      <c r="X48" s="113">
        <f t="shared" si="12"/>
        <v>1.0339851087060283</v>
      </c>
      <c r="Y48" s="113">
        <f t="shared" si="13"/>
        <v>1</v>
      </c>
    </row>
    <row r="49" spans="1:25" x14ac:dyDescent="0.15">
      <c r="A49" s="114" t="s">
        <v>64</v>
      </c>
      <c r="B49" s="115" t="s">
        <v>164</v>
      </c>
      <c r="C49" s="115" t="s">
        <v>225</v>
      </c>
      <c r="D49" s="116">
        <v>2800</v>
      </c>
      <c r="E49" s="117">
        <v>1</v>
      </c>
      <c r="F49" s="118">
        <v>1</v>
      </c>
      <c r="G49" s="119">
        <v>15</v>
      </c>
      <c r="H49" s="120">
        <v>185</v>
      </c>
      <c r="I49" s="120">
        <v>176</v>
      </c>
      <c r="J49" s="120">
        <v>0</v>
      </c>
      <c r="K49" s="120">
        <v>300</v>
      </c>
      <c r="L49" s="120">
        <v>292.14676071428568</v>
      </c>
      <c r="M49" s="120">
        <f t="shared" si="1"/>
        <v>518000</v>
      </c>
      <c r="N49" s="120">
        <f t="shared" si="2"/>
        <v>518000</v>
      </c>
      <c r="O49" s="120">
        <f t="shared" si="3"/>
        <v>492800</v>
      </c>
      <c r="P49" s="120">
        <f t="shared" si="4"/>
        <v>492800</v>
      </c>
      <c r="Q49" s="120">
        <f t="shared" si="5"/>
        <v>0</v>
      </c>
      <c r="R49" s="120">
        <f t="shared" si="6"/>
        <v>0</v>
      </c>
      <c r="S49" s="120">
        <f t="shared" si="7"/>
        <v>840000</v>
      </c>
      <c r="T49" s="120">
        <f t="shared" si="8"/>
        <v>840000</v>
      </c>
      <c r="U49" s="120">
        <f t="shared" si="9"/>
        <v>7770000</v>
      </c>
      <c r="V49" s="120">
        <f t="shared" si="10"/>
        <v>7770000</v>
      </c>
      <c r="W49" s="121">
        <f t="shared" si="11"/>
        <v>818010.92999999993</v>
      </c>
      <c r="X49" s="113">
        <f t="shared" si="12"/>
        <v>0.97382253571428556</v>
      </c>
      <c r="Y49" s="113">
        <f t="shared" si="13"/>
        <v>1</v>
      </c>
    </row>
    <row r="50" spans="1:25" ht="14" thickBot="1" x14ac:dyDescent="0.2">
      <c r="A50" s="123" t="s">
        <v>64</v>
      </c>
      <c r="B50" s="124" t="s">
        <v>164</v>
      </c>
      <c r="C50" s="124" t="s">
        <v>226</v>
      </c>
      <c r="D50" s="125">
        <v>2374</v>
      </c>
      <c r="E50" s="126">
        <v>1</v>
      </c>
      <c r="F50" s="127">
        <v>1</v>
      </c>
      <c r="G50" s="128">
        <v>11.435296946097045</v>
      </c>
      <c r="H50" s="129">
        <v>17.100219039595618</v>
      </c>
      <c r="I50" s="129">
        <v>0</v>
      </c>
      <c r="J50" s="129">
        <v>5.4926672283066553</v>
      </c>
      <c r="K50" s="129">
        <v>1.9778264532434704</v>
      </c>
      <c r="L50" s="129">
        <v>12.019909435551812</v>
      </c>
      <c r="M50" s="129">
        <f t="shared" si="1"/>
        <v>40595.919999999998</v>
      </c>
      <c r="N50" s="129">
        <f t="shared" si="2"/>
        <v>40595.919999999998</v>
      </c>
      <c r="O50" s="129">
        <f t="shared" si="3"/>
        <v>0</v>
      </c>
      <c r="P50" s="129">
        <f t="shared" si="4"/>
        <v>0</v>
      </c>
      <c r="Q50" s="129">
        <f t="shared" si="5"/>
        <v>13039.592000000001</v>
      </c>
      <c r="R50" s="129">
        <f t="shared" si="6"/>
        <v>13039.592000000001</v>
      </c>
      <c r="S50" s="129">
        <f t="shared" si="7"/>
        <v>4695.3599999999988</v>
      </c>
      <c r="T50" s="129">
        <f t="shared" si="8"/>
        <v>4695.3599999999988</v>
      </c>
      <c r="U50" s="129">
        <f t="shared" si="9"/>
        <v>464226.39999999997</v>
      </c>
      <c r="V50" s="129">
        <f t="shared" si="10"/>
        <v>464226.39999999997</v>
      </c>
      <c r="W50" s="130">
        <f t="shared" si="11"/>
        <v>28535.264999999999</v>
      </c>
      <c r="X50" s="113">
        <f t="shared" si="12"/>
        <v>6.0773327284808847</v>
      </c>
      <c r="Y50" s="113">
        <f t="shared" si="13"/>
        <v>1</v>
      </c>
    </row>
    <row r="51" spans="1:25" s="94" customFormat="1" x14ac:dyDescent="0.15"/>
    <row r="52" spans="1:25" x14ac:dyDescent="0.15">
      <c r="A52" s="90" t="s">
        <v>227</v>
      </c>
    </row>
  </sheetData>
  <sheetProtection autoFilter="0"/>
  <autoFilter ref="A3:W50" xr:uid="{7AA1EB31-B67F-4EFC-AE9D-6DF707FFEBF9}"/>
  <mergeCells count="1">
    <mergeCell ref="M1:W1"/>
  </mergeCells>
  <pageMargins left="0.5" right="0.2" top="0.75" bottom="0.75" header="0.3" footer="0.3"/>
  <pageSetup paperSize="5" scale="5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5852D-064B-B044-80ED-4749414B8363}">
  <sheetPr>
    <tabColor theme="6"/>
    <pageSetUpPr fitToPage="1"/>
  </sheetPr>
  <dimension ref="A2:J28"/>
  <sheetViews>
    <sheetView zoomScale="115" zoomScaleNormal="115" workbookViewId="0">
      <selection activeCell="G8" sqref="G8"/>
    </sheetView>
  </sheetViews>
  <sheetFormatPr baseColWidth="10" defaultColWidth="9.1640625" defaultRowHeight="14" x14ac:dyDescent="0.15"/>
  <cols>
    <col min="1" max="16384" width="9.1640625" style="131"/>
  </cols>
  <sheetData>
    <row r="2" spans="1:10" x14ac:dyDescent="0.15">
      <c r="A2" s="131" t="s">
        <v>11</v>
      </c>
    </row>
    <row r="3" spans="1:10" x14ac:dyDescent="0.15">
      <c r="A3" s="132" t="s">
        <v>228</v>
      </c>
      <c r="B3" s="131" t="s">
        <v>229</v>
      </c>
    </row>
    <row r="4" spans="1:10" x14ac:dyDescent="0.15">
      <c r="A4" s="132" t="s">
        <v>230</v>
      </c>
      <c r="B4" s="131" t="s">
        <v>231</v>
      </c>
    </row>
    <row r="5" spans="1:10" x14ac:dyDescent="0.15">
      <c r="A5" s="132" t="s">
        <v>232</v>
      </c>
      <c r="B5" s="131" t="s">
        <v>233</v>
      </c>
    </row>
    <row r="6" spans="1:10" x14ac:dyDescent="0.15">
      <c r="A6" s="132" t="s">
        <v>234</v>
      </c>
      <c r="B6" s="131" t="s">
        <v>235</v>
      </c>
      <c r="J6" s="133"/>
    </row>
    <row r="7" spans="1:10" x14ac:dyDescent="0.15">
      <c r="C7" s="131" t="s">
        <v>63</v>
      </c>
      <c r="J7" s="133"/>
    </row>
    <row r="8" spans="1:10" x14ac:dyDescent="0.15">
      <c r="A8" s="134"/>
      <c r="C8" s="131" t="s">
        <v>165</v>
      </c>
    </row>
    <row r="9" spans="1:10" x14ac:dyDescent="0.15">
      <c r="A9" s="134"/>
      <c r="C9" s="131" t="s">
        <v>3</v>
      </c>
    </row>
    <row r="10" spans="1:10" x14ac:dyDescent="0.15">
      <c r="A10" s="134"/>
      <c r="C10" s="131" t="s">
        <v>2</v>
      </c>
    </row>
    <row r="11" spans="1:10" x14ac:dyDescent="0.15">
      <c r="A11" s="134"/>
      <c r="C11" s="131" t="s">
        <v>4</v>
      </c>
    </row>
    <row r="12" spans="1:10" x14ac:dyDescent="0.15">
      <c r="A12" s="134"/>
      <c r="C12" s="131" t="s">
        <v>236</v>
      </c>
    </row>
    <row r="13" spans="1:10" x14ac:dyDescent="0.15">
      <c r="A13" s="134"/>
      <c r="C13" s="131" t="s">
        <v>237</v>
      </c>
    </row>
    <row r="14" spans="1:10" x14ac:dyDescent="0.15">
      <c r="A14" s="132" t="s">
        <v>238</v>
      </c>
      <c r="B14" s="131" t="s">
        <v>239</v>
      </c>
    </row>
    <row r="15" spans="1:10" x14ac:dyDescent="0.15">
      <c r="C15" s="131" t="s">
        <v>163</v>
      </c>
    </row>
    <row r="16" spans="1:10" x14ac:dyDescent="0.15">
      <c r="C16" s="131" t="s">
        <v>1</v>
      </c>
    </row>
    <row r="17" spans="1:3" x14ac:dyDescent="0.15">
      <c r="C17" s="131" t="s">
        <v>60</v>
      </c>
    </row>
    <row r="18" spans="1:3" x14ac:dyDescent="0.15">
      <c r="C18" s="131" t="s">
        <v>62</v>
      </c>
    </row>
    <row r="19" spans="1:3" x14ac:dyDescent="0.15">
      <c r="C19" s="131" t="s">
        <v>240</v>
      </c>
    </row>
    <row r="20" spans="1:3" x14ac:dyDescent="0.15">
      <c r="C20" s="131" t="s">
        <v>241</v>
      </c>
    </row>
    <row r="21" spans="1:3" x14ac:dyDescent="0.15">
      <c r="A21" s="132" t="s">
        <v>242</v>
      </c>
      <c r="B21" s="133" t="s">
        <v>243</v>
      </c>
    </row>
    <row r="22" spans="1:3" x14ac:dyDescent="0.15">
      <c r="A22" s="132" t="s">
        <v>244</v>
      </c>
      <c r="B22" s="133" t="s">
        <v>245</v>
      </c>
    </row>
    <row r="23" spans="1:3" x14ac:dyDescent="0.15">
      <c r="A23" s="132" t="s">
        <v>246</v>
      </c>
      <c r="B23" s="135" t="s">
        <v>247</v>
      </c>
    </row>
    <row r="24" spans="1:3" x14ac:dyDescent="0.15">
      <c r="A24" s="132" t="s">
        <v>248</v>
      </c>
      <c r="B24" s="131" t="s">
        <v>249</v>
      </c>
    </row>
    <row r="25" spans="1:3" x14ac:dyDescent="0.15">
      <c r="C25" s="131" t="s">
        <v>250</v>
      </c>
    </row>
    <row r="26" spans="1:3" x14ac:dyDescent="0.15">
      <c r="C26" s="131" t="s">
        <v>251</v>
      </c>
    </row>
    <row r="27" spans="1:3" x14ac:dyDescent="0.15">
      <c r="A27" s="134"/>
      <c r="C27" s="131" t="s">
        <v>252</v>
      </c>
    </row>
    <row r="28" spans="1:3" x14ac:dyDescent="0.15">
      <c r="A28" s="134"/>
      <c r="C28" s="131" t="s">
        <v>253</v>
      </c>
    </row>
  </sheetData>
  <pageMargins left="0.7" right="0.7" top="0.75" bottom="0.75" header="0.3" footer="0.3"/>
  <pageSetup paperSize="5" scale="83"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BFA0C-9CCA-D14A-9FBF-34BAB13187DD}">
  <sheetPr>
    <tabColor theme="6"/>
  </sheetPr>
  <dimension ref="A1:CI97"/>
  <sheetViews>
    <sheetView zoomScale="150" zoomScaleNormal="150" workbookViewId="0">
      <pane xSplit="2" topLeftCell="Q1" activePane="topRight" state="frozen"/>
      <selection pane="topRight" activeCell="X19" sqref="X19"/>
    </sheetView>
  </sheetViews>
  <sheetFormatPr baseColWidth="10" defaultRowHeight="16" x14ac:dyDescent="0.2"/>
  <cols>
    <col min="1" max="1" width="20.33203125" customWidth="1"/>
    <col min="2" max="2" width="33" customWidth="1"/>
    <col min="3" max="7" width="19" customWidth="1"/>
    <col min="8" max="8" width="14.1640625" bestFit="1" customWidth="1"/>
    <col min="9" max="10" width="13" bestFit="1" customWidth="1"/>
    <col min="11" max="12" width="14.1640625" bestFit="1" customWidth="1"/>
    <col min="40" max="40" width="35.1640625" bestFit="1" customWidth="1"/>
    <col min="41" max="41" width="16.6640625" customWidth="1"/>
    <col min="42" max="42" width="14" bestFit="1" customWidth="1"/>
  </cols>
  <sheetData>
    <row r="1" spans="1:25" ht="24" x14ac:dyDescent="0.3">
      <c r="A1" s="6" t="s">
        <v>328</v>
      </c>
      <c r="M1" t="s">
        <v>329</v>
      </c>
      <c r="R1" t="s">
        <v>330</v>
      </c>
      <c r="S1" t="s">
        <v>331</v>
      </c>
      <c r="T1" s="19">
        <f>1/0.7717</f>
        <v>1.2958403524685758</v>
      </c>
      <c r="U1" s="251" t="s">
        <v>413</v>
      </c>
      <c r="W1" t="s">
        <v>332</v>
      </c>
      <c r="X1" t="s">
        <v>333</v>
      </c>
      <c r="Y1" s="15">
        <v>0.02</v>
      </c>
    </row>
    <row r="2" spans="1:25" x14ac:dyDescent="0.2">
      <c r="C2" s="221" t="s">
        <v>334</v>
      </c>
      <c r="D2" s="221"/>
      <c r="E2" s="221"/>
      <c r="F2" s="221"/>
      <c r="G2" s="222"/>
      <c r="H2" s="221" t="s">
        <v>12</v>
      </c>
      <c r="I2" s="221"/>
      <c r="J2" s="221"/>
      <c r="K2" s="221"/>
      <c r="L2" s="221"/>
      <c r="M2" s="223" t="s">
        <v>335</v>
      </c>
      <c r="N2" s="221"/>
      <c r="O2" s="221"/>
      <c r="P2" s="221"/>
      <c r="Q2" s="221"/>
      <c r="R2" s="223" t="s">
        <v>335</v>
      </c>
      <c r="S2" s="221"/>
      <c r="T2" s="221"/>
      <c r="U2" s="221"/>
      <c r="V2" s="221"/>
    </row>
    <row r="3" spans="1:25" x14ac:dyDescent="0.2">
      <c r="A3" s="7" t="s">
        <v>58</v>
      </c>
      <c r="B3" s="224" t="s">
        <v>336</v>
      </c>
      <c r="C3" s="221">
        <v>2016</v>
      </c>
      <c r="D3" s="221">
        <v>2017</v>
      </c>
      <c r="E3" s="221">
        <v>2018</v>
      </c>
      <c r="F3" s="221">
        <v>2019</v>
      </c>
      <c r="G3" s="222">
        <v>2020</v>
      </c>
      <c r="H3" s="221">
        <v>2016</v>
      </c>
      <c r="I3" s="221">
        <v>2017</v>
      </c>
      <c r="J3" s="221">
        <v>2018</v>
      </c>
      <c r="K3" s="221">
        <v>2019</v>
      </c>
      <c r="L3" s="221">
        <v>2020</v>
      </c>
      <c r="M3" s="223">
        <v>2016</v>
      </c>
      <c r="N3" s="221">
        <v>2017</v>
      </c>
      <c r="O3" s="221">
        <v>2018</v>
      </c>
      <c r="P3" s="221">
        <v>2019</v>
      </c>
      <c r="Q3" s="221">
        <v>2020</v>
      </c>
      <c r="R3" s="223">
        <v>2016</v>
      </c>
      <c r="S3" s="221">
        <v>2017</v>
      </c>
      <c r="T3" s="221">
        <v>2018</v>
      </c>
      <c r="U3" s="221">
        <v>2019</v>
      </c>
      <c r="V3" s="221">
        <v>2020</v>
      </c>
      <c r="W3" s="221">
        <v>2021</v>
      </c>
      <c r="X3" s="221">
        <v>2022</v>
      </c>
      <c r="Y3" s="221">
        <v>2023</v>
      </c>
    </row>
    <row r="4" spans="1:25" x14ac:dyDescent="0.2">
      <c r="A4" s="225" t="s">
        <v>337</v>
      </c>
      <c r="B4" s="225" t="s">
        <v>338</v>
      </c>
      <c r="C4" s="226">
        <f t="shared" ref="C4:G22" si="0">IFERROR(VLOOKUP($B4&amp;C$3,$AN$34:$AU$97,2,0),0)</f>
        <v>9979300.1929594986</v>
      </c>
      <c r="D4" s="227">
        <f t="shared" si="0"/>
        <v>7089644.6170146856</v>
      </c>
      <c r="E4" s="227">
        <f t="shared" si="0"/>
        <v>7712888.9617733518</v>
      </c>
      <c r="F4" s="227">
        <f t="shared" si="0"/>
        <v>6380155.5116397496</v>
      </c>
      <c r="G4" s="227">
        <f t="shared" si="0"/>
        <v>5771218.8476128578</v>
      </c>
      <c r="H4" s="228">
        <f t="shared" ref="H4:L22" si="1">IFERROR(VLOOKUP($B4&amp;H$3,$AN$34:$AU$97,3,0),0)</f>
        <v>7566962.2914945353</v>
      </c>
      <c r="I4" s="27">
        <f t="shared" si="1"/>
        <v>6128688.8600362558</v>
      </c>
      <c r="J4" s="27">
        <f t="shared" si="1"/>
        <v>6330649.5532747703</v>
      </c>
      <c r="K4" s="27">
        <f t="shared" si="1"/>
        <v>4352667.8560598809</v>
      </c>
      <c r="L4" s="229">
        <f t="shared" si="1"/>
        <v>4136399.9286710592</v>
      </c>
      <c r="M4" s="230">
        <f>IFERROR(C4/H4,"")</f>
        <v>1.3187987211428944</v>
      </c>
      <c r="N4" s="230">
        <f t="shared" ref="N4:T19" si="2">IFERROR(D4/I4,"")</f>
        <v>1.1567963032427044</v>
      </c>
      <c r="O4" s="230">
        <f t="shared" si="2"/>
        <v>1.21834085062939</v>
      </c>
      <c r="P4" s="230">
        <f t="shared" si="2"/>
        <v>1.4658034388627093</v>
      </c>
      <c r="Q4" s="231">
        <f t="shared" si="2"/>
        <v>1.3952274797246291</v>
      </c>
      <c r="R4" s="230">
        <f>$T$1*M4</f>
        <v>1.7089525996409152</v>
      </c>
      <c r="S4" s="230">
        <f t="shared" ref="S4:V7" si="3">$T$1*N4</f>
        <v>1.4990233293283717</v>
      </c>
      <c r="T4" s="230">
        <f t="shared" si="3"/>
        <v>1.5787752373064532</v>
      </c>
      <c r="U4" s="230">
        <f t="shared" si="3"/>
        <v>1.8994472448655035</v>
      </c>
      <c r="V4" s="230">
        <f t="shared" si="3"/>
        <v>1.807992069100206</v>
      </c>
    </row>
    <row r="5" spans="1:25" x14ac:dyDescent="0.2">
      <c r="A5" s="225" t="s">
        <v>337</v>
      </c>
      <c r="B5" s="232" t="s">
        <v>339</v>
      </c>
      <c r="C5" s="226">
        <f t="shared" si="0"/>
        <v>10547239.554707622</v>
      </c>
      <c r="D5" s="227">
        <f t="shared" si="0"/>
        <v>13140521.066475745</v>
      </c>
      <c r="E5" s="227">
        <f t="shared" si="0"/>
        <v>11830722.488764402</v>
      </c>
      <c r="F5" s="227">
        <f t="shared" si="0"/>
        <v>0</v>
      </c>
      <c r="G5" s="227">
        <f t="shared" si="0"/>
        <v>0</v>
      </c>
      <c r="H5" s="228">
        <f t="shared" si="1"/>
        <v>6114991.5644255187</v>
      </c>
      <c r="I5" s="27">
        <f t="shared" si="1"/>
        <v>5463173.453029152</v>
      </c>
      <c r="J5" s="27">
        <f t="shared" si="1"/>
        <v>5461936.2167304819</v>
      </c>
      <c r="K5" s="27">
        <f t="shared" si="1"/>
        <v>0</v>
      </c>
      <c r="L5" s="229">
        <f t="shared" si="1"/>
        <v>0</v>
      </c>
      <c r="M5" s="230">
        <f t="shared" ref="M5:T22" si="4">IFERROR(C5/H5,"")</f>
        <v>1.7248166973879542</v>
      </c>
      <c r="N5" s="230">
        <f t="shared" si="2"/>
        <v>2.4052908404710736</v>
      </c>
      <c r="O5" s="230">
        <f t="shared" si="2"/>
        <v>2.1660308761068392</v>
      </c>
      <c r="P5" s="230" t="str">
        <f t="shared" si="2"/>
        <v/>
      </c>
      <c r="Q5" s="231" t="str">
        <f t="shared" si="2"/>
        <v/>
      </c>
      <c r="R5" s="230">
        <f t="shared" ref="R5:R6" si="5">$T$1*M5</f>
        <v>2.2350870770868911</v>
      </c>
      <c r="S5" s="230">
        <f t="shared" si="3"/>
        <v>3.116872930505473</v>
      </c>
      <c r="T5" s="230">
        <f t="shared" si="3"/>
        <v>2.8068302139521046</v>
      </c>
      <c r="U5" s="230"/>
      <c r="V5" s="230"/>
    </row>
    <row r="6" spans="1:25" x14ac:dyDescent="0.2">
      <c r="A6" s="225" t="s">
        <v>340</v>
      </c>
      <c r="B6" s="225" t="s">
        <v>341</v>
      </c>
      <c r="C6" s="226">
        <f t="shared" si="0"/>
        <v>16752696.772006711</v>
      </c>
      <c r="D6" s="227">
        <f t="shared" si="0"/>
        <v>16110922.516739309</v>
      </c>
      <c r="E6" s="227">
        <f t="shared" si="0"/>
        <v>23122159.337083578</v>
      </c>
      <c r="F6" s="227">
        <f t="shared" si="0"/>
        <v>25622809.014187612</v>
      </c>
      <c r="G6" s="227">
        <f t="shared" si="0"/>
        <v>24678614.431865908</v>
      </c>
      <c r="H6" s="228">
        <f t="shared" si="1"/>
        <v>14777613.618863102</v>
      </c>
      <c r="I6" s="27">
        <f t="shared" si="1"/>
        <v>14791406.515812259</v>
      </c>
      <c r="J6" s="27">
        <f t="shared" si="1"/>
        <v>19904946.202016931</v>
      </c>
      <c r="K6" s="27">
        <f t="shared" si="1"/>
        <v>16242197.812392747</v>
      </c>
      <c r="L6" s="229">
        <f t="shared" si="1"/>
        <v>11674524.693285516</v>
      </c>
      <c r="M6" s="230">
        <f t="shared" si="4"/>
        <v>1.1336537281379779</v>
      </c>
      <c r="N6" s="230">
        <f t="shared" si="2"/>
        <v>1.0892082845209119</v>
      </c>
      <c r="O6" s="230">
        <f t="shared" si="2"/>
        <v>1.1616288284537364</v>
      </c>
      <c r="P6" s="230">
        <f t="shared" si="2"/>
        <v>1.5775456813262974</v>
      </c>
      <c r="Q6" s="231">
        <f t="shared" si="2"/>
        <v>2.1138860107991859</v>
      </c>
      <c r="R6" s="230">
        <f t="shared" si="5"/>
        <v>1.4690342466476323</v>
      </c>
      <c r="S6" s="230">
        <f t="shared" si="3"/>
        <v>1.4114400473252713</v>
      </c>
      <c r="T6" s="230">
        <f t="shared" si="3"/>
        <v>1.5052855105011484</v>
      </c>
      <c r="U6" s="230">
        <f t="shared" si="3"/>
        <v>2.0442473517251485</v>
      </c>
      <c r="V6" s="230">
        <f t="shared" si="3"/>
        <v>2.7392587933124086</v>
      </c>
    </row>
    <row r="7" spans="1:25" x14ac:dyDescent="0.2">
      <c r="A7" s="225" t="s">
        <v>340</v>
      </c>
      <c r="B7" s="225" t="s">
        <v>342</v>
      </c>
      <c r="C7" s="226">
        <f t="shared" si="0"/>
        <v>0</v>
      </c>
      <c r="D7" s="227">
        <f t="shared" si="0"/>
        <v>0</v>
      </c>
      <c r="E7" s="227">
        <f t="shared" si="0"/>
        <v>0</v>
      </c>
      <c r="F7" s="227">
        <f t="shared" si="0"/>
        <v>11268027.251247611</v>
      </c>
      <c r="G7" s="227">
        <f t="shared" si="0"/>
        <v>12053829.154634524</v>
      </c>
      <c r="H7" s="228">
        <f t="shared" si="1"/>
        <v>0</v>
      </c>
      <c r="I7" s="27">
        <f t="shared" si="1"/>
        <v>0</v>
      </c>
      <c r="J7" s="27">
        <f t="shared" si="1"/>
        <v>0</v>
      </c>
      <c r="K7" s="27">
        <f t="shared" si="1"/>
        <v>5360790.1883219546</v>
      </c>
      <c r="L7" s="229">
        <f t="shared" si="1"/>
        <v>7096651.7588588297</v>
      </c>
      <c r="M7" s="230" t="str">
        <f t="shared" si="4"/>
        <v/>
      </c>
      <c r="N7" s="230" t="str">
        <f t="shared" si="2"/>
        <v/>
      </c>
      <c r="O7" s="230" t="str">
        <f t="shared" si="2"/>
        <v/>
      </c>
      <c r="P7" s="230">
        <f t="shared" si="2"/>
        <v>2.1019340163310423</v>
      </c>
      <c r="Q7" s="231">
        <f t="shared" si="2"/>
        <v>1.698523411352064</v>
      </c>
      <c r="R7" s="230" t="str">
        <f t="shared" si="2"/>
        <v/>
      </c>
      <c r="S7" s="230" t="str">
        <f t="shared" si="2"/>
        <v/>
      </c>
      <c r="T7" s="230" t="str">
        <f t="shared" si="2"/>
        <v/>
      </c>
      <c r="U7" s="230">
        <f t="shared" si="3"/>
        <v>2.7237709165881068</v>
      </c>
      <c r="V7" s="230">
        <f t="shared" si="3"/>
        <v>2.2010151760425862</v>
      </c>
    </row>
    <row r="8" spans="1:25" s="19" customFormat="1" x14ac:dyDescent="0.2">
      <c r="A8" s="233" t="s">
        <v>340</v>
      </c>
      <c r="B8" s="234" t="s">
        <v>343</v>
      </c>
      <c r="C8" s="235">
        <f t="shared" si="0"/>
        <v>1596540.2771386513</v>
      </c>
      <c r="D8" s="236">
        <f t="shared" si="0"/>
        <v>1649795.2720539581</v>
      </c>
      <c r="E8" s="236">
        <f t="shared" si="0"/>
        <v>2160371.8048644578</v>
      </c>
      <c r="F8" s="236">
        <f t="shared" si="0"/>
        <v>0</v>
      </c>
      <c r="G8" s="236">
        <f t="shared" si="0"/>
        <v>0</v>
      </c>
      <c r="H8" s="237">
        <f t="shared" si="1"/>
        <v>859157.72897428903</v>
      </c>
      <c r="I8" s="238">
        <f t="shared" si="1"/>
        <v>912791.24846201774</v>
      </c>
      <c r="J8" s="238">
        <f t="shared" si="1"/>
        <v>952960.5580848665</v>
      </c>
      <c r="K8" s="238">
        <f t="shared" si="1"/>
        <v>0</v>
      </c>
      <c r="L8" s="239">
        <f t="shared" si="1"/>
        <v>0</v>
      </c>
      <c r="M8" s="240">
        <f t="shared" si="4"/>
        <v>1.8582621366215155</v>
      </c>
      <c r="N8" s="240">
        <f t="shared" si="2"/>
        <v>1.8074179335458516</v>
      </c>
      <c r="O8" s="240">
        <f t="shared" si="2"/>
        <v>2.2670107241438049</v>
      </c>
      <c r="P8" s="240" t="str">
        <f t="shared" si="2"/>
        <v/>
      </c>
      <c r="Q8" s="241" t="str">
        <f t="shared" si="2"/>
        <v/>
      </c>
      <c r="R8" s="230">
        <f t="shared" ref="R8:T9" si="6">$T$1*M8</f>
        <v>2.4080110620986335</v>
      </c>
      <c r="S8" s="230">
        <f t="shared" si="6"/>
        <v>2.342125092064081</v>
      </c>
      <c r="T8" s="230">
        <f t="shared" si="6"/>
        <v>2.9376839758245494</v>
      </c>
      <c r="U8" s="240" t="str">
        <f t="shared" ref="U8:V22" si="7">IFERROR(K8/P8,"")</f>
        <v/>
      </c>
      <c r="V8" s="241" t="str">
        <f t="shared" si="7"/>
        <v/>
      </c>
      <c r="Y8" s="242">
        <f>T8*(1+$Y$1)^(Y3-T3)</f>
        <v>3.2434404835761379</v>
      </c>
    </row>
    <row r="9" spans="1:25" x14ac:dyDescent="0.2">
      <c r="A9" s="225" t="s">
        <v>340</v>
      </c>
      <c r="B9" s="232" t="s">
        <v>344</v>
      </c>
      <c r="C9" s="226">
        <f t="shared" si="0"/>
        <v>4316908.167581277</v>
      </c>
      <c r="D9" s="227">
        <f t="shared" si="0"/>
        <v>4697511.7207970582</v>
      </c>
      <c r="E9" s="227">
        <f t="shared" si="0"/>
        <v>4145877.1334177894</v>
      </c>
      <c r="F9" s="227">
        <f t="shared" si="0"/>
        <v>0</v>
      </c>
      <c r="G9" s="227">
        <f t="shared" si="0"/>
        <v>0</v>
      </c>
      <c r="H9" s="228">
        <f t="shared" si="1"/>
        <v>904338.78094509465</v>
      </c>
      <c r="I9" s="27">
        <f t="shared" si="1"/>
        <v>850602.47073635866</v>
      </c>
      <c r="J9" s="27">
        <f t="shared" si="1"/>
        <v>761408.32379538135</v>
      </c>
      <c r="K9" s="27">
        <f t="shared" si="1"/>
        <v>0</v>
      </c>
      <c r="L9" s="229">
        <f t="shared" si="1"/>
        <v>0</v>
      </c>
      <c r="M9" s="230">
        <f t="shared" si="4"/>
        <v>4.7735519680686682</v>
      </c>
      <c r="N9" s="230">
        <f t="shared" si="2"/>
        <v>5.5225700399511721</v>
      </c>
      <c r="O9" s="230">
        <f t="shared" si="2"/>
        <v>5.4450115711263756</v>
      </c>
      <c r="P9" s="230" t="str">
        <f t="shared" si="2"/>
        <v/>
      </c>
      <c r="Q9" s="231" t="str">
        <f t="shared" si="2"/>
        <v/>
      </c>
      <c r="R9" s="230">
        <f t="shared" si="6"/>
        <v>6.1857612648291669</v>
      </c>
      <c r="S9" s="230">
        <f t="shared" si="6"/>
        <v>7.1563691071027238</v>
      </c>
      <c r="T9" s="230">
        <f t="shared" si="6"/>
        <v>7.0558657135238763</v>
      </c>
      <c r="U9" s="230" t="str">
        <f t="shared" si="7"/>
        <v/>
      </c>
      <c r="V9" s="231" t="str">
        <f t="shared" si="7"/>
        <v/>
      </c>
    </row>
    <row r="10" spans="1:25" x14ac:dyDescent="0.2">
      <c r="A10" s="225" t="s">
        <v>340</v>
      </c>
      <c r="B10" s="232" t="s">
        <v>345</v>
      </c>
      <c r="C10" s="226">
        <f t="shared" si="0"/>
        <v>0</v>
      </c>
      <c r="D10" s="227">
        <f t="shared" si="0"/>
        <v>0</v>
      </c>
      <c r="E10" s="227">
        <f t="shared" si="0"/>
        <v>0</v>
      </c>
      <c r="F10" s="227">
        <f t="shared" si="0"/>
        <v>0</v>
      </c>
      <c r="G10" s="227">
        <f t="shared" si="0"/>
        <v>0</v>
      </c>
      <c r="H10" s="228">
        <f t="shared" si="1"/>
        <v>0</v>
      </c>
      <c r="I10" s="27">
        <f t="shared" si="1"/>
        <v>0</v>
      </c>
      <c r="J10" s="27">
        <f t="shared" si="1"/>
        <v>0</v>
      </c>
      <c r="K10" s="27">
        <f t="shared" si="1"/>
        <v>0</v>
      </c>
      <c r="L10" s="229">
        <f t="shared" si="1"/>
        <v>0</v>
      </c>
      <c r="M10" s="230" t="str">
        <f t="shared" si="4"/>
        <v/>
      </c>
      <c r="N10" s="230" t="str">
        <f t="shared" si="2"/>
        <v/>
      </c>
      <c r="O10" s="230" t="str">
        <f t="shared" si="2"/>
        <v/>
      </c>
      <c r="P10" s="230" t="str">
        <f t="shared" si="2"/>
        <v/>
      </c>
      <c r="Q10" s="231" t="str">
        <f t="shared" si="2"/>
        <v/>
      </c>
      <c r="R10" s="230" t="str">
        <f t="shared" si="2"/>
        <v/>
      </c>
      <c r="S10" s="230" t="str">
        <f t="shared" si="2"/>
        <v/>
      </c>
      <c r="T10" s="230" t="str">
        <f t="shared" si="2"/>
        <v/>
      </c>
      <c r="U10" s="230" t="str">
        <f t="shared" si="7"/>
        <v/>
      </c>
      <c r="V10" s="231" t="str">
        <f t="shared" si="7"/>
        <v/>
      </c>
    </row>
    <row r="11" spans="1:25" x14ac:dyDescent="0.2">
      <c r="A11" s="225" t="s">
        <v>346</v>
      </c>
      <c r="B11" s="225" t="s">
        <v>347</v>
      </c>
      <c r="C11" s="226">
        <f t="shared" si="0"/>
        <v>384182.64042802574</v>
      </c>
      <c r="D11" s="227">
        <f t="shared" si="0"/>
        <v>353468.81186779623</v>
      </c>
      <c r="E11" s="227">
        <f t="shared" si="0"/>
        <v>354090.27759037196</v>
      </c>
      <c r="F11" s="227">
        <f t="shared" si="0"/>
        <v>258552.1765367554</v>
      </c>
      <c r="G11" s="227">
        <f t="shared" si="0"/>
        <v>138784.4791679983</v>
      </c>
      <c r="H11" s="228">
        <f t="shared" si="1"/>
        <v>0</v>
      </c>
      <c r="I11" s="27">
        <f t="shared" si="1"/>
        <v>0</v>
      </c>
      <c r="J11" s="27">
        <f t="shared" si="1"/>
        <v>0</v>
      </c>
      <c r="K11" s="27">
        <f t="shared" si="1"/>
        <v>0</v>
      </c>
      <c r="L11" s="229">
        <f t="shared" si="1"/>
        <v>0</v>
      </c>
      <c r="M11" s="230" t="str">
        <f t="shared" si="4"/>
        <v/>
      </c>
      <c r="N11" s="230" t="str">
        <f t="shared" si="2"/>
        <v/>
      </c>
      <c r="O11" s="230" t="str">
        <f t="shared" si="2"/>
        <v/>
      </c>
      <c r="P11" s="230" t="str">
        <f t="shared" si="2"/>
        <v/>
      </c>
      <c r="Q11" s="231" t="str">
        <f t="shared" si="2"/>
        <v/>
      </c>
      <c r="R11" s="230" t="str">
        <f t="shared" si="2"/>
        <v/>
      </c>
      <c r="S11" s="230" t="str">
        <f t="shared" si="2"/>
        <v/>
      </c>
      <c r="T11" s="230" t="str">
        <f t="shared" si="2"/>
        <v/>
      </c>
      <c r="U11" s="230" t="str">
        <f t="shared" si="7"/>
        <v/>
      </c>
      <c r="V11" s="231" t="str">
        <f t="shared" si="7"/>
        <v/>
      </c>
    </row>
    <row r="12" spans="1:25" x14ac:dyDescent="0.2">
      <c r="A12" s="225" t="s">
        <v>346</v>
      </c>
      <c r="B12" s="225" t="s">
        <v>348</v>
      </c>
      <c r="C12" s="226">
        <f t="shared" si="0"/>
        <v>13950.98</v>
      </c>
      <c r="D12" s="227">
        <f t="shared" si="0"/>
        <v>3475.48</v>
      </c>
      <c r="E12" s="227">
        <f t="shared" si="0"/>
        <v>5176.3499999999995</v>
      </c>
      <c r="F12" s="227">
        <f t="shared" si="0"/>
        <v>5198.6799999999994</v>
      </c>
      <c r="G12" s="227">
        <f t="shared" si="0"/>
        <v>3733.3499999999995</v>
      </c>
      <c r="H12" s="228">
        <f t="shared" si="1"/>
        <v>0</v>
      </c>
      <c r="I12" s="27">
        <f t="shared" si="1"/>
        <v>0</v>
      </c>
      <c r="J12" s="27">
        <f t="shared" si="1"/>
        <v>0</v>
      </c>
      <c r="K12" s="27">
        <f t="shared" si="1"/>
        <v>0</v>
      </c>
      <c r="L12" s="229">
        <f t="shared" si="1"/>
        <v>0</v>
      </c>
      <c r="M12" s="230" t="str">
        <f t="shared" si="4"/>
        <v/>
      </c>
      <c r="N12" s="230" t="str">
        <f t="shared" si="2"/>
        <v/>
      </c>
      <c r="O12" s="230" t="str">
        <f t="shared" si="2"/>
        <v/>
      </c>
      <c r="P12" s="230" t="str">
        <f t="shared" si="2"/>
        <v/>
      </c>
      <c r="Q12" s="231" t="str">
        <f t="shared" si="2"/>
        <v/>
      </c>
      <c r="R12" s="230" t="str">
        <f t="shared" si="2"/>
        <v/>
      </c>
      <c r="S12" s="230" t="str">
        <f t="shared" si="2"/>
        <v/>
      </c>
      <c r="T12" s="230" t="str">
        <f t="shared" si="2"/>
        <v/>
      </c>
      <c r="U12" s="230" t="str">
        <f t="shared" si="7"/>
        <v/>
      </c>
      <c r="V12" s="231" t="str">
        <f t="shared" si="7"/>
        <v/>
      </c>
    </row>
    <row r="13" spans="1:25" x14ac:dyDescent="0.2">
      <c r="A13" s="225" t="s">
        <v>346</v>
      </c>
      <c r="B13" s="225" t="s">
        <v>349</v>
      </c>
      <c r="C13" s="226">
        <f t="shared" si="0"/>
        <v>232815.37000000002</v>
      </c>
      <c r="D13" s="227">
        <f t="shared" si="0"/>
        <v>409188.81</v>
      </c>
      <c r="E13" s="227">
        <f t="shared" si="0"/>
        <v>254802.80008269189</v>
      </c>
      <c r="F13" s="227">
        <f t="shared" si="0"/>
        <v>267791.21061586088</v>
      </c>
      <c r="G13" s="227">
        <f t="shared" si="0"/>
        <v>316538.45292550203</v>
      </c>
      <c r="H13" s="228">
        <f t="shared" si="1"/>
        <v>0</v>
      </c>
      <c r="I13" s="27">
        <f t="shared" si="1"/>
        <v>0</v>
      </c>
      <c r="J13" s="27">
        <f t="shared" si="1"/>
        <v>0</v>
      </c>
      <c r="K13" s="27">
        <f t="shared" si="1"/>
        <v>0</v>
      </c>
      <c r="L13" s="229">
        <f t="shared" si="1"/>
        <v>0</v>
      </c>
      <c r="M13" s="230" t="str">
        <f t="shared" si="4"/>
        <v/>
      </c>
      <c r="N13" s="230" t="str">
        <f t="shared" si="2"/>
        <v/>
      </c>
      <c r="O13" s="230" t="str">
        <f t="shared" si="2"/>
        <v/>
      </c>
      <c r="P13" s="230" t="str">
        <f t="shared" si="2"/>
        <v/>
      </c>
      <c r="Q13" s="231" t="str">
        <f t="shared" si="2"/>
        <v/>
      </c>
      <c r="R13" s="230" t="str">
        <f t="shared" si="2"/>
        <v/>
      </c>
      <c r="S13" s="230" t="str">
        <f t="shared" si="2"/>
        <v/>
      </c>
      <c r="T13" s="230" t="str">
        <f t="shared" si="2"/>
        <v/>
      </c>
      <c r="U13" s="230" t="str">
        <f t="shared" si="7"/>
        <v/>
      </c>
      <c r="V13" s="231" t="str">
        <f t="shared" si="7"/>
        <v/>
      </c>
    </row>
    <row r="14" spans="1:25" x14ac:dyDescent="0.2">
      <c r="A14" s="225" t="s">
        <v>346</v>
      </c>
      <c r="B14" s="232" t="s">
        <v>350</v>
      </c>
      <c r="C14" s="226">
        <f t="shared" si="0"/>
        <v>81172.50575926379</v>
      </c>
      <c r="D14" s="227">
        <f t="shared" si="0"/>
        <v>86981.133104048844</v>
      </c>
      <c r="E14" s="227">
        <f t="shared" si="0"/>
        <v>81601.174143067255</v>
      </c>
      <c r="F14" s="227">
        <f t="shared" si="0"/>
        <v>0</v>
      </c>
      <c r="G14" s="227">
        <f t="shared" si="0"/>
        <v>0</v>
      </c>
      <c r="H14" s="228">
        <f t="shared" si="1"/>
        <v>0</v>
      </c>
      <c r="I14" s="27">
        <f t="shared" si="1"/>
        <v>0</v>
      </c>
      <c r="J14" s="27">
        <f t="shared" si="1"/>
        <v>0</v>
      </c>
      <c r="K14" s="27">
        <f t="shared" si="1"/>
        <v>0</v>
      </c>
      <c r="L14" s="229">
        <f t="shared" si="1"/>
        <v>0</v>
      </c>
      <c r="M14" s="230" t="str">
        <f t="shared" si="4"/>
        <v/>
      </c>
      <c r="N14" s="230" t="str">
        <f t="shared" si="2"/>
        <v/>
      </c>
      <c r="O14" s="230" t="str">
        <f t="shared" si="2"/>
        <v/>
      </c>
      <c r="P14" s="230" t="str">
        <f t="shared" si="2"/>
        <v/>
      </c>
      <c r="Q14" s="231" t="str">
        <f t="shared" si="2"/>
        <v/>
      </c>
      <c r="R14" s="230" t="str">
        <f t="shared" si="2"/>
        <v/>
      </c>
      <c r="S14" s="230" t="str">
        <f t="shared" si="2"/>
        <v/>
      </c>
      <c r="T14" s="230" t="str">
        <f t="shared" si="2"/>
        <v/>
      </c>
      <c r="U14" s="230" t="str">
        <f t="shared" si="7"/>
        <v/>
      </c>
      <c r="V14" s="231" t="str">
        <f t="shared" si="7"/>
        <v/>
      </c>
    </row>
    <row r="15" spans="1:25" x14ac:dyDescent="0.2">
      <c r="A15" s="225" t="s">
        <v>346</v>
      </c>
      <c r="B15" s="225" t="s">
        <v>351</v>
      </c>
      <c r="C15" s="226">
        <f t="shared" si="0"/>
        <v>0</v>
      </c>
      <c r="D15" s="227">
        <f t="shared" si="0"/>
        <v>0</v>
      </c>
      <c r="E15" s="227">
        <f t="shared" si="0"/>
        <v>0</v>
      </c>
      <c r="F15" s="227">
        <f t="shared" si="0"/>
        <v>42942.3</v>
      </c>
      <c r="G15" s="227">
        <f t="shared" si="0"/>
        <v>52202.61</v>
      </c>
      <c r="H15" s="228">
        <f t="shared" si="1"/>
        <v>0</v>
      </c>
      <c r="I15" s="27">
        <f t="shared" si="1"/>
        <v>0</v>
      </c>
      <c r="J15" s="27">
        <f t="shared" si="1"/>
        <v>0</v>
      </c>
      <c r="K15" s="27">
        <f t="shared" si="1"/>
        <v>0</v>
      </c>
      <c r="L15" s="229">
        <f t="shared" si="1"/>
        <v>0</v>
      </c>
      <c r="M15" s="230" t="str">
        <f t="shared" si="4"/>
        <v/>
      </c>
      <c r="N15" s="230" t="str">
        <f t="shared" si="2"/>
        <v/>
      </c>
      <c r="O15" s="230" t="str">
        <f t="shared" si="2"/>
        <v/>
      </c>
      <c r="P15" s="230" t="str">
        <f t="shared" si="2"/>
        <v/>
      </c>
      <c r="Q15" s="231" t="str">
        <f t="shared" si="2"/>
        <v/>
      </c>
      <c r="R15" s="230" t="str">
        <f t="shared" si="2"/>
        <v/>
      </c>
      <c r="S15" s="230" t="str">
        <f t="shared" si="2"/>
        <v/>
      </c>
      <c r="T15" s="230" t="str">
        <f t="shared" si="2"/>
        <v/>
      </c>
      <c r="U15" s="230" t="str">
        <f t="shared" si="7"/>
        <v/>
      </c>
      <c r="V15" s="231" t="str">
        <f t="shared" si="7"/>
        <v/>
      </c>
    </row>
    <row r="16" spans="1:25" x14ac:dyDescent="0.2">
      <c r="A16" s="225" t="s">
        <v>346</v>
      </c>
      <c r="B16" s="232" t="s">
        <v>352</v>
      </c>
      <c r="C16" s="226">
        <f t="shared" si="0"/>
        <v>18024.05</v>
      </c>
      <c r="D16" s="227">
        <f t="shared" si="0"/>
        <v>46924.87</v>
      </c>
      <c r="E16" s="227">
        <f t="shared" si="0"/>
        <v>46015.69</v>
      </c>
      <c r="F16" s="227">
        <f t="shared" si="0"/>
        <v>0</v>
      </c>
      <c r="G16" s="227">
        <f t="shared" si="0"/>
        <v>0</v>
      </c>
      <c r="H16" s="228">
        <f t="shared" si="1"/>
        <v>0</v>
      </c>
      <c r="I16" s="27">
        <f t="shared" si="1"/>
        <v>0</v>
      </c>
      <c r="J16" s="27">
        <f t="shared" si="1"/>
        <v>0</v>
      </c>
      <c r="K16" s="27">
        <f t="shared" si="1"/>
        <v>0</v>
      </c>
      <c r="L16" s="229">
        <f t="shared" si="1"/>
        <v>0</v>
      </c>
      <c r="M16" s="230" t="str">
        <f t="shared" si="4"/>
        <v/>
      </c>
      <c r="N16" s="230" t="str">
        <f t="shared" si="2"/>
        <v/>
      </c>
      <c r="O16" s="230" t="str">
        <f t="shared" si="2"/>
        <v/>
      </c>
      <c r="P16" s="230" t="str">
        <f t="shared" si="2"/>
        <v/>
      </c>
      <c r="Q16" s="231" t="str">
        <f t="shared" si="2"/>
        <v/>
      </c>
      <c r="R16" s="230" t="str">
        <f t="shared" si="2"/>
        <v/>
      </c>
      <c r="S16" s="230" t="str">
        <f t="shared" si="2"/>
        <v/>
      </c>
      <c r="T16" s="230" t="str">
        <f t="shared" si="2"/>
        <v/>
      </c>
      <c r="U16" s="230" t="str">
        <f t="shared" si="7"/>
        <v/>
      </c>
      <c r="V16" s="231" t="str">
        <f t="shared" si="7"/>
        <v/>
      </c>
    </row>
    <row r="17" spans="1:22" x14ac:dyDescent="0.2">
      <c r="A17" s="225" t="s">
        <v>346</v>
      </c>
      <c r="B17" s="225" t="s">
        <v>353</v>
      </c>
      <c r="C17" s="226">
        <f t="shared" si="0"/>
        <v>0</v>
      </c>
      <c r="D17" s="227">
        <f t="shared" si="0"/>
        <v>0</v>
      </c>
      <c r="E17" s="227">
        <f t="shared" si="0"/>
        <v>0</v>
      </c>
      <c r="F17" s="227">
        <f t="shared" si="0"/>
        <v>93090.849999999991</v>
      </c>
      <c r="G17" s="227">
        <f t="shared" si="0"/>
        <v>80945.509999999995</v>
      </c>
      <c r="H17" s="228">
        <f t="shared" si="1"/>
        <v>0</v>
      </c>
      <c r="I17" s="27">
        <f t="shared" si="1"/>
        <v>0</v>
      </c>
      <c r="J17" s="27">
        <f t="shared" si="1"/>
        <v>0</v>
      </c>
      <c r="K17" s="27">
        <f t="shared" si="1"/>
        <v>0</v>
      </c>
      <c r="L17" s="229">
        <f t="shared" si="1"/>
        <v>0</v>
      </c>
      <c r="M17" s="230" t="str">
        <f t="shared" si="4"/>
        <v/>
      </c>
      <c r="N17" s="230" t="str">
        <f t="shared" si="2"/>
        <v/>
      </c>
      <c r="O17" s="230" t="str">
        <f t="shared" si="2"/>
        <v/>
      </c>
      <c r="P17" s="230" t="str">
        <f t="shared" si="2"/>
        <v/>
      </c>
      <c r="Q17" s="231" t="str">
        <f t="shared" si="2"/>
        <v/>
      </c>
      <c r="R17" s="230" t="str">
        <f t="shared" si="2"/>
        <v/>
      </c>
      <c r="S17" s="230" t="str">
        <f t="shared" si="2"/>
        <v/>
      </c>
      <c r="T17" s="230" t="str">
        <f t="shared" si="2"/>
        <v/>
      </c>
      <c r="U17" s="230" t="str">
        <f t="shared" si="7"/>
        <v/>
      </c>
      <c r="V17" s="231" t="str">
        <f t="shared" si="7"/>
        <v/>
      </c>
    </row>
    <row r="18" spans="1:22" x14ac:dyDescent="0.2">
      <c r="A18" s="225" t="s">
        <v>346</v>
      </c>
      <c r="B18" s="225" t="s">
        <v>354</v>
      </c>
      <c r="C18" s="226">
        <f t="shared" si="0"/>
        <v>0</v>
      </c>
      <c r="D18" s="227">
        <f t="shared" si="0"/>
        <v>0</v>
      </c>
      <c r="E18" s="227">
        <f t="shared" si="0"/>
        <v>0</v>
      </c>
      <c r="F18" s="227">
        <f t="shared" si="0"/>
        <v>2895533.4186277082</v>
      </c>
      <c r="G18" s="227">
        <f t="shared" si="0"/>
        <v>2582420.2862600056</v>
      </c>
      <c r="H18" s="228">
        <f t="shared" si="1"/>
        <v>0</v>
      </c>
      <c r="I18" s="27">
        <f t="shared" si="1"/>
        <v>0</v>
      </c>
      <c r="J18" s="27">
        <f t="shared" si="1"/>
        <v>0</v>
      </c>
      <c r="K18" s="27">
        <f t="shared" si="1"/>
        <v>0</v>
      </c>
      <c r="L18" s="229">
        <f t="shared" si="1"/>
        <v>0</v>
      </c>
      <c r="M18" s="230" t="str">
        <f t="shared" si="4"/>
        <v/>
      </c>
      <c r="N18" s="230" t="str">
        <f t="shared" si="2"/>
        <v/>
      </c>
      <c r="O18" s="230" t="str">
        <f t="shared" si="2"/>
        <v/>
      </c>
      <c r="P18" s="230" t="str">
        <f t="shared" si="2"/>
        <v/>
      </c>
      <c r="Q18" s="231" t="str">
        <f t="shared" si="2"/>
        <v/>
      </c>
      <c r="R18" s="230" t="str">
        <f t="shared" si="2"/>
        <v/>
      </c>
      <c r="S18" s="230" t="str">
        <f t="shared" si="2"/>
        <v/>
      </c>
      <c r="T18" s="230" t="str">
        <f t="shared" si="2"/>
        <v/>
      </c>
      <c r="U18" s="230" t="str">
        <f t="shared" si="7"/>
        <v/>
      </c>
      <c r="V18" s="231" t="str">
        <f t="shared" si="7"/>
        <v/>
      </c>
    </row>
    <row r="19" spans="1:22" x14ac:dyDescent="0.2">
      <c r="A19" s="225" t="s">
        <v>346</v>
      </c>
      <c r="B19" s="232" t="s">
        <v>355</v>
      </c>
      <c r="C19" s="226">
        <f t="shared" si="0"/>
        <v>34377.1</v>
      </c>
      <c r="D19" s="227">
        <f t="shared" si="0"/>
        <v>19921.3</v>
      </c>
      <c r="E19" s="227">
        <f t="shared" si="0"/>
        <v>43036.98</v>
      </c>
      <c r="F19" s="227">
        <f t="shared" si="0"/>
        <v>0</v>
      </c>
      <c r="G19" s="227">
        <f t="shared" si="0"/>
        <v>0</v>
      </c>
      <c r="H19" s="228">
        <f t="shared" si="1"/>
        <v>0</v>
      </c>
      <c r="I19" s="27">
        <f t="shared" si="1"/>
        <v>0</v>
      </c>
      <c r="J19" s="27">
        <f t="shared" si="1"/>
        <v>0</v>
      </c>
      <c r="K19" s="27">
        <f t="shared" si="1"/>
        <v>0</v>
      </c>
      <c r="L19" s="229">
        <f t="shared" si="1"/>
        <v>0</v>
      </c>
      <c r="M19" s="230" t="str">
        <f t="shared" si="4"/>
        <v/>
      </c>
      <c r="N19" s="230" t="str">
        <f t="shared" si="2"/>
        <v/>
      </c>
      <c r="O19" s="230" t="str">
        <f t="shared" si="2"/>
        <v/>
      </c>
      <c r="P19" s="230" t="str">
        <f t="shared" si="2"/>
        <v/>
      </c>
      <c r="Q19" s="231" t="str">
        <f t="shared" si="2"/>
        <v/>
      </c>
      <c r="R19" s="230" t="str">
        <f t="shared" si="2"/>
        <v/>
      </c>
      <c r="S19" s="230" t="str">
        <f t="shared" si="2"/>
        <v/>
      </c>
      <c r="T19" s="230" t="str">
        <f t="shared" si="2"/>
        <v/>
      </c>
      <c r="U19" s="230" t="str">
        <f t="shared" si="7"/>
        <v/>
      </c>
      <c r="V19" s="231" t="str">
        <f t="shared" si="7"/>
        <v/>
      </c>
    </row>
    <row r="20" spans="1:22" x14ac:dyDescent="0.2">
      <c r="A20" s="225" t="s">
        <v>346</v>
      </c>
      <c r="B20" s="225" t="s">
        <v>356</v>
      </c>
      <c r="C20" s="226">
        <f t="shared" si="0"/>
        <v>0</v>
      </c>
      <c r="D20" s="227">
        <f t="shared" si="0"/>
        <v>0</v>
      </c>
      <c r="E20" s="227">
        <f t="shared" si="0"/>
        <v>0</v>
      </c>
      <c r="F20" s="227">
        <f t="shared" si="0"/>
        <v>69805.943297895792</v>
      </c>
      <c r="G20" s="227">
        <f t="shared" si="0"/>
        <v>91518.111376358007</v>
      </c>
      <c r="H20" s="228">
        <f t="shared" si="1"/>
        <v>0</v>
      </c>
      <c r="I20" s="27">
        <f t="shared" si="1"/>
        <v>0</v>
      </c>
      <c r="J20" s="27">
        <f t="shared" si="1"/>
        <v>0</v>
      </c>
      <c r="K20" s="27">
        <f t="shared" si="1"/>
        <v>0</v>
      </c>
      <c r="L20" s="229">
        <f t="shared" si="1"/>
        <v>0</v>
      </c>
      <c r="M20" s="230" t="str">
        <f t="shared" si="4"/>
        <v/>
      </c>
      <c r="N20" s="230" t="str">
        <f t="shared" si="4"/>
        <v/>
      </c>
      <c r="O20" s="230" t="str">
        <f t="shared" si="4"/>
        <v/>
      </c>
      <c r="P20" s="230" t="str">
        <f t="shared" si="4"/>
        <v/>
      </c>
      <c r="Q20" s="231" t="str">
        <f t="shared" si="4"/>
        <v/>
      </c>
      <c r="R20" s="230" t="str">
        <f t="shared" si="4"/>
        <v/>
      </c>
      <c r="S20" s="230" t="str">
        <f t="shared" si="4"/>
        <v/>
      </c>
      <c r="T20" s="230" t="str">
        <f t="shared" si="4"/>
        <v/>
      </c>
      <c r="U20" s="230" t="str">
        <f t="shared" si="7"/>
        <v/>
      </c>
      <c r="V20" s="231" t="str">
        <f t="shared" si="7"/>
        <v/>
      </c>
    </row>
    <row r="21" spans="1:22" x14ac:dyDescent="0.2">
      <c r="A21" s="225" t="s">
        <v>346</v>
      </c>
      <c r="B21" s="232" t="s">
        <v>357</v>
      </c>
      <c r="C21" s="226">
        <f t="shared" si="0"/>
        <v>68084.159999999814</v>
      </c>
      <c r="D21" s="227">
        <f t="shared" si="0"/>
        <v>39432.589999999997</v>
      </c>
      <c r="E21" s="227">
        <f t="shared" si="0"/>
        <v>34018.67</v>
      </c>
      <c r="F21" s="227">
        <f t="shared" si="0"/>
        <v>0</v>
      </c>
      <c r="G21" s="227">
        <f t="shared" si="0"/>
        <v>0</v>
      </c>
      <c r="H21" s="228">
        <f t="shared" si="1"/>
        <v>0</v>
      </c>
      <c r="I21" s="27">
        <f t="shared" si="1"/>
        <v>0</v>
      </c>
      <c r="J21" s="27">
        <f t="shared" si="1"/>
        <v>0</v>
      </c>
      <c r="K21" s="27">
        <f t="shared" si="1"/>
        <v>0</v>
      </c>
      <c r="L21" s="229">
        <f t="shared" si="1"/>
        <v>0</v>
      </c>
      <c r="M21" s="230" t="str">
        <f t="shared" si="4"/>
        <v/>
      </c>
      <c r="N21" s="230" t="str">
        <f t="shared" si="4"/>
        <v/>
      </c>
      <c r="O21" s="230" t="str">
        <f t="shared" si="4"/>
        <v/>
      </c>
      <c r="P21" s="230" t="str">
        <f t="shared" si="4"/>
        <v/>
      </c>
      <c r="Q21" s="231" t="str">
        <f t="shared" si="4"/>
        <v/>
      </c>
      <c r="R21" s="230" t="str">
        <f t="shared" si="4"/>
        <v/>
      </c>
      <c r="S21" s="230" t="str">
        <f t="shared" si="4"/>
        <v/>
      </c>
      <c r="T21" s="230" t="str">
        <f t="shared" si="4"/>
        <v/>
      </c>
      <c r="U21" s="230" t="str">
        <f t="shared" si="7"/>
        <v/>
      </c>
      <c r="V21" s="231" t="str">
        <f t="shared" si="7"/>
        <v/>
      </c>
    </row>
    <row r="22" spans="1:22" x14ac:dyDescent="0.2">
      <c r="A22" s="225" t="s">
        <v>346</v>
      </c>
      <c r="B22" s="225" t="s">
        <v>358</v>
      </c>
      <c r="C22" s="243">
        <f t="shared" si="0"/>
        <v>0</v>
      </c>
      <c r="D22" s="244">
        <f t="shared" si="0"/>
        <v>0</v>
      </c>
      <c r="E22" s="244">
        <f t="shared" si="0"/>
        <v>0</v>
      </c>
      <c r="F22" s="244">
        <f t="shared" si="0"/>
        <v>73544.77</v>
      </c>
      <c r="G22" s="244">
        <f t="shared" si="0"/>
        <v>192052.05</v>
      </c>
      <c r="H22" s="245">
        <f t="shared" si="1"/>
        <v>0</v>
      </c>
      <c r="I22" s="51">
        <f t="shared" si="1"/>
        <v>0</v>
      </c>
      <c r="J22" s="51">
        <f t="shared" si="1"/>
        <v>0</v>
      </c>
      <c r="K22" s="51">
        <f t="shared" si="1"/>
        <v>0</v>
      </c>
      <c r="L22" s="246">
        <f t="shared" si="1"/>
        <v>0</v>
      </c>
      <c r="M22" s="247" t="str">
        <f t="shared" si="4"/>
        <v/>
      </c>
      <c r="N22" s="247" t="str">
        <f t="shared" si="4"/>
        <v/>
      </c>
      <c r="O22" s="247" t="str">
        <f t="shared" si="4"/>
        <v/>
      </c>
      <c r="P22" s="247" t="str">
        <f t="shared" si="4"/>
        <v/>
      </c>
      <c r="Q22" s="248" t="str">
        <f t="shared" si="4"/>
        <v/>
      </c>
      <c r="R22" s="247" t="str">
        <f t="shared" si="4"/>
        <v/>
      </c>
      <c r="S22" s="247" t="str">
        <f t="shared" si="4"/>
        <v/>
      </c>
      <c r="T22" s="247" t="str">
        <f t="shared" si="4"/>
        <v/>
      </c>
      <c r="U22" s="247" t="str">
        <f t="shared" si="7"/>
        <v/>
      </c>
      <c r="V22" s="248" t="str">
        <f t="shared" si="7"/>
        <v/>
      </c>
    </row>
    <row r="28" spans="1:22" s="250" customFormat="1" ht="21" x14ac:dyDescent="0.25">
      <c r="A28" s="249" t="s">
        <v>359</v>
      </c>
    </row>
    <row r="29" spans="1:22" x14ac:dyDescent="0.2">
      <c r="A29" t="s">
        <v>59</v>
      </c>
    </row>
    <row r="30" spans="1:22" x14ac:dyDescent="0.2">
      <c r="A30">
        <v>2020</v>
      </c>
      <c r="B30" s="251" t="s">
        <v>360</v>
      </c>
    </row>
    <row r="31" spans="1:22" x14ac:dyDescent="0.2">
      <c r="A31">
        <v>2019</v>
      </c>
      <c r="B31" s="251" t="s">
        <v>361</v>
      </c>
    </row>
    <row r="32" spans="1:22" x14ac:dyDescent="0.2">
      <c r="A32" t="s">
        <v>362</v>
      </c>
      <c r="B32" s="251" t="s">
        <v>363</v>
      </c>
    </row>
    <row r="34" spans="1:87" s="259" customFormat="1" ht="80" x14ac:dyDescent="0.2">
      <c r="A34" s="224" t="s">
        <v>364</v>
      </c>
      <c r="B34" s="224" t="s">
        <v>365</v>
      </c>
      <c r="C34" s="224" t="s">
        <v>10</v>
      </c>
      <c r="D34" s="224" t="s">
        <v>366</v>
      </c>
      <c r="E34" s="224" t="s">
        <v>290</v>
      </c>
      <c r="F34" s="224" t="s">
        <v>58</v>
      </c>
      <c r="G34" s="224" t="s">
        <v>336</v>
      </c>
      <c r="H34" s="252" t="s">
        <v>367</v>
      </c>
      <c r="I34" s="252" t="s">
        <v>368</v>
      </c>
      <c r="J34" s="252" t="s">
        <v>369</v>
      </c>
      <c r="K34" s="252" t="s">
        <v>370</v>
      </c>
      <c r="L34" s="252" t="s">
        <v>371</v>
      </c>
      <c r="M34" s="252" t="s">
        <v>372</v>
      </c>
      <c r="N34" s="253" t="s">
        <v>373</v>
      </c>
      <c r="O34" s="254" t="s">
        <v>374</v>
      </c>
      <c r="P34" s="254" t="s">
        <v>375</v>
      </c>
      <c r="Q34" s="255" t="s">
        <v>376</v>
      </c>
      <c r="R34" s="255" t="s">
        <v>377</v>
      </c>
      <c r="S34" s="256" t="s">
        <v>378</v>
      </c>
      <c r="T34" s="256" t="s">
        <v>379</v>
      </c>
      <c r="U34" s="256" t="s">
        <v>380</v>
      </c>
      <c r="V34" s="256" t="s">
        <v>381</v>
      </c>
      <c r="W34" s="256" t="s">
        <v>382</v>
      </c>
      <c r="X34" s="256" t="s">
        <v>383</v>
      </c>
      <c r="Y34" s="256" t="s">
        <v>384</v>
      </c>
      <c r="Z34" s="256" t="s">
        <v>385</v>
      </c>
      <c r="AA34" s="257" t="s">
        <v>386</v>
      </c>
      <c r="AB34" s="257" t="s">
        <v>387</v>
      </c>
      <c r="AC34" s="257" t="s">
        <v>388</v>
      </c>
      <c r="AD34" s="257" t="s">
        <v>389</v>
      </c>
      <c r="AE34" s="258" t="s">
        <v>390</v>
      </c>
      <c r="AF34" s="258" t="s">
        <v>391</v>
      </c>
      <c r="AG34" s="258" t="s">
        <v>392</v>
      </c>
      <c r="AH34" s="258" t="s">
        <v>393</v>
      </c>
      <c r="AI34" s="258" t="s">
        <v>394</v>
      </c>
      <c r="AJ34" s="258" t="s">
        <v>395</v>
      </c>
      <c r="AK34" s="258" t="s">
        <v>396</v>
      </c>
      <c r="AL34" s="258" t="s">
        <v>397</v>
      </c>
      <c r="AM34"/>
      <c r="AN34" s="224" t="s">
        <v>398</v>
      </c>
      <c r="AO34" s="258" t="s">
        <v>334</v>
      </c>
      <c r="AP34" s="258" t="s">
        <v>399</v>
      </c>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row>
    <row r="35" spans="1:87" s="262" customFormat="1" x14ac:dyDescent="0.2">
      <c r="A35" s="260" t="s">
        <v>294</v>
      </c>
      <c r="B35" s="260" t="s">
        <v>400</v>
      </c>
      <c r="C35" s="260">
        <v>2020</v>
      </c>
      <c r="D35" s="260" t="s">
        <v>401</v>
      </c>
      <c r="E35" s="260" t="s">
        <v>402</v>
      </c>
      <c r="F35" s="260" t="s">
        <v>337</v>
      </c>
      <c r="G35" s="260" t="s">
        <v>338</v>
      </c>
      <c r="H35" s="261">
        <v>325587.76838087151</v>
      </c>
      <c r="I35" s="261">
        <v>460685.26509180106</v>
      </c>
      <c r="J35" s="261">
        <v>3383772.61</v>
      </c>
      <c r="K35" s="261">
        <v>1600867.0341401859</v>
      </c>
      <c r="L35" s="261">
        <v>306.17</v>
      </c>
      <c r="M35" s="261">
        <v>274609.46315418032</v>
      </c>
      <c r="N35" s="261">
        <v>1167105.0495964608</v>
      </c>
      <c r="O35" s="261">
        <v>0</v>
      </c>
      <c r="P35" s="261">
        <v>133</v>
      </c>
      <c r="Q35" s="261">
        <v>-106.57920000000001</v>
      </c>
      <c r="R35" s="261">
        <v>-106.57920000000001</v>
      </c>
      <c r="S35" s="261">
        <v>-1117.4992000000002</v>
      </c>
      <c r="T35" s="261">
        <v>-17262.363840000002</v>
      </c>
      <c r="U35" s="261">
        <v>-886.17686560000016</v>
      </c>
      <c r="V35" s="261">
        <v>-13689.054525120004</v>
      </c>
      <c r="W35" s="261">
        <v>-886.17686560000016</v>
      </c>
      <c r="X35" s="261">
        <v>-13689.054525120004</v>
      </c>
      <c r="Y35" s="261">
        <v>-6467.4600909683913</v>
      </c>
      <c r="Z35" s="261">
        <v>-90861.380464807677</v>
      </c>
      <c r="AA35" s="261">
        <v>1814935.7174874013</v>
      </c>
      <c r="AB35" s="261">
        <v>32910912.759373818</v>
      </c>
      <c r="AC35" s="261">
        <v>1463503.5621583413</v>
      </c>
      <c r="AD35" s="261">
        <v>26599879.823033076</v>
      </c>
      <c r="AE35" s="261">
        <v>0</v>
      </c>
      <c r="AF35" s="261">
        <v>0</v>
      </c>
      <c r="AG35" s="261">
        <v>0</v>
      </c>
      <c r="AH35" s="261">
        <v>0</v>
      </c>
      <c r="AI35" s="261">
        <v>0</v>
      </c>
      <c r="AJ35" s="261">
        <v>0</v>
      </c>
      <c r="AK35" s="261">
        <v>380594.79462480004</v>
      </c>
      <c r="AL35" s="261">
        <v>5052921.7176205888</v>
      </c>
      <c r="AM35"/>
      <c r="AN35" s="262" t="str">
        <f t="shared" ref="AN35:AN97" si="8">G35&amp;C35</f>
        <v>C1a - C&amp;I New Buildings &amp; Major Renovations2020</v>
      </c>
      <c r="AO35" s="9">
        <f>SUM(H35:L35)</f>
        <v>5771218.8476128578</v>
      </c>
      <c r="AP35" s="10">
        <v>4136399.9286710592</v>
      </c>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row>
    <row r="36" spans="1:87" s="262" customFormat="1" x14ac:dyDescent="0.2">
      <c r="A36" s="260" t="s">
        <v>294</v>
      </c>
      <c r="B36" s="260" t="s">
        <v>400</v>
      </c>
      <c r="C36" s="260">
        <v>2020</v>
      </c>
      <c r="D36" s="260" t="s">
        <v>401</v>
      </c>
      <c r="E36" s="260" t="s">
        <v>402</v>
      </c>
      <c r="F36" s="260" t="s">
        <v>340</v>
      </c>
      <c r="G36" s="260" t="s">
        <v>341</v>
      </c>
      <c r="H36" s="261">
        <v>1022647.5332638239</v>
      </c>
      <c r="I36" s="261">
        <v>1667525.6825758871</v>
      </c>
      <c r="J36" s="261">
        <v>15801417.950000001</v>
      </c>
      <c r="K36" s="261">
        <v>6187023.266026197</v>
      </c>
      <c r="L36" s="261">
        <v>0</v>
      </c>
      <c r="M36" s="261">
        <v>533586.24105187831</v>
      </c>
      <c r="N36" s="261">
        <v>6102161.9524170198</v>
      </c>
      <c r="O36" s="261">
        <v>0</v>
      </c>
      <c r="P36" s="261">
        <v>2419.6921101283842</v>
      </c>
      <c r="Q36" s="261">
        <v>8.1752760160906384</v>
      </c>
      <c r="R36" s="261">
        <v>0</v>
      </c>
      <c r="S36" s="261">
        <v>85.492800000000003</v>
      </c>
      <c r="T36" s="261">
        <v>1073.6535011356284</v>
      </c>
      <c r="U36" s="261">
        <v>74.868224974101111</v>
      </c>
      <c r="V36" s="261">
        <v>947.03359288999923</v>
      </c>
      <c r="W36" s="261">
        <v>74.868224974101111</v>
      </c>
      <c r="X36" s="261">
        <v>947.03359288999923</v>
      </c>
      <c r="Y36" s="261">
        <v>107.58228269155465</v>
      </c>
      <c r="Z36" s="261">
        <v>1592.5873101182888</v>
      </c>
      <c r="AA36" s="261">
        <v>4844573.6295204228</v>
      </c>
      <c r="AB36" s="261">
        <v>62226765.59152215</v>
      </c>
      <c r="AC36" s="261">
        <v>4130574.5986264339</v>
      </c>
      <c r="AD36" s="261">
        <v>53475937.229603536</v>
      </c>
      <c r="AE36" s="261">
        <v>0</v>
      </c>
      <c r="AF36" s="261">
        <v>0</v>
      </c>
      <c r="AG36" s="261">
        <v>0</v>
      </c>
      <c r="AH36" s="261">
        <v>0</v>
      </c>
      <c r="AI36" s="261">
        <v>0</v>
      </c>
      <c r="AJ36" s="261">
        <v>0</v>
      </c>
      <c r="AK36" s="261">
        <v>40127086.997465603</v>
      </c>
      <c r="AL36" s="261">
        <v>443680248.28572237</v>
      </c>
      <c r="AM36"/>
      <c r="AN36" s="262" t="str">
        <f t="shared" si="8"/>
        <v>C2a - C&amp;I Existing Building Retrofit2020</v>
      </c>
      <c r="AO36" s="9">
        <f t="shared" ref="AO36:AO97" si="9">SUM(H36:L36)</f>
        <v>24678614.431865908</v>
      </c>
      <c r="AP36" s="10">
        <v>11674524.693285516</v>
      </c>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row>
    <row r="37" spans="1:87" s="262" customFormat="1" x14ac:dyDescent="0.2">
      <c r="A37" s="260" t="s">
        <v>294</v>
      </c>
      <c r="B37" s="260" t="s">
        <v>400</v>
      </c>
      <c r="C37" s="260">
        <v>2020</v>
      </c>
      <c r="D37" s="260" t="s">
        <v>401</v>
      </c>
      <c r="E37" s="260" t="s">
        <v>402</v>
      </c>
      <c r="F37" s="260" t="s">
        <v>340</v>
      </c>
      <c r="G37" s="260" t="s">
        <v>342</v>
      </c>
      <c r="H37" s="261">
        <v>355911.69406742835</v>
      </c>
      <c r="I37" s="261">
        <v>182702.62171409276</v>
      </c>
      <c r="J37" s="261">
        <v>6898222.0499999998</v>
      </c>
      <c r="K37" s="261">
        <v>4616992.7888530018</v>
      </c>
      <c r="L37" s="261">
        <v>0</v>
      </c>
      <c r="M37" s="261">
        <v>228494.95577583768</v>
      </c>
      <c r="N37" s="261">
        <v>1547440.5419999994</v>
      </c>
      <c r="O37" s="261">
        <v>0</v>
      </c>
      <c r="P37" s="261">
        <v>1589</v>
      </c>
      <c r="Q37" s="261">
        <v>0</v>
      </c>
      <c r="R37" s="261">
        <v>0</v>
      </c>
      <c r="S37" s="261">
        <v>6.8880000000000008</v>
      </c>
      <c r="T37" s="261">
        <v>123.98400000000001</v>
      </c>
      <c r="U37" s="261">
        <v>5.737703999999999</v>
      </c>
      <c r="V37" s="261">
        <v>103.27867199999999</v>
      </c>
      <c r="W37" s="261">
        <v>5.737703999999999</v>
      </c>
      <c r="X37" s="261">
        <v>103.27867199999999</v>
      </c>
      <c r="Y37" s="261">
        <v>42.135333793150863</v>
      </c>
      <c r="Z37" s="261">
        <v>685.68773890608611</v>
      </c>
      <c r="AA37" s="261">
        <v>3638020.8649999998</v>
      </c>
      <c r="AB37" s="261">
        <v>53644125.819400005</v>
      </c>
      <c r="AC37" s="261">
        <v>2510873.0556970001</v>
      </c>
      <c r="AD37" s="261">
        <v>36736343.110549197</v>
      </c>
      <c r="AE37" s="261">
        <v>0</v>
      </c>
      <c r="AF37" s="261">
        <v>0</v>
      </c>
      <c r="AG37" s="261">
        <v>0</v>
      </c>
      <c r="AH37" s="261">
        <v>0</v>
      </c>
      <c r="AI37" s="261">
        <v>0</v>
      </c>
      <c r="AJ37" s="261">
        <v>0</v>
      </c>
      <c r="AK37" s="261">
        <v>3846327.52</v>
      </c>
      <c r="AL37" s="261">
        <v>40431954.079999998</v>
      </c>
      <c r="AM37"/>
      <c r="AN37" s="262" t="str">
        <f t="shared" si="8"/>
        <v>C2b - C&amp;I New &amp; Replacement Equipment2020</v>
      </c>
      <c r="AO37" s="9">
        <f t="shared" si="9"/>
        <v>12053829.154634524</v>
      </c>
      <c r="AP37" s="10">
        <v>7096651.7588588297</v>
      </c>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row>
    <row r="38" spans="1:87" s="262" customFormat="1" x14ac:dyDescent="0.2">
      <c r="A38" s="260" t="s">
        <v>294</v>
      </c>
      <c r="B38" s="260" t="s">
        <v>400</v>
      </c>
      <c r="C38" s="260">
        <v>2020</v>
      </c>
      <c r="D38" s="260" t="s">
        <v>401</v>
      </c>
      <c r="E38" s="260" t="s">
        <v>402</v>
      </c>
      <c r="F38" s="260" t="s">
        <v>346</v>
      </c>
      <c r="G38" s="260" t="s">
        <v>347</v>
      </c>
      <c r="H38" s="261">
        <v>3190.3091679982681</v>
      </c>
      <c r="I38" s="261">
        <v>135594.17000000004</v>
      </c>
      <c r="J38" s="261">
        <v>0</v>
      </c>
      <c r="K38" s="261">
        <v>0</v>
      </c>
      <c r="L38" s="261">
        <v>0</v>
      </c>
      <c r="M38" s="261">
        <v>0</v>
      </c>
      <c r="N38" s="261">
        <v>0</v>
      </c>
      <c r="O38" s="261">
        <v>0</v>
      </c>
      <c r="P38" s="261">
        <v>0</v>
      </c>
      <c r="Q38" s="261">
        <v>0</v>
      </c>
      <c r="R38" s="261">
        <v>0</v>
      </c>
      <c r="S38" s="261">
        <v>0</v>
      </c>
      <c r="T38" s="261">
        <v>0</v>
      </c>
      <c r="U38" s="261">
        <v>0</v>
      </c>
      <c r="V38" s="261">
        <v>0</v>
      </c>
      <c r="W38" s="261">
        <v>0</v>
      </c>
      <c r="X38" s="261">
        <v>0</v>
      </c>
      <c r="Y38" s="261">
        <v>0</v>
      </c>
      <c r="Z38" s="261">
        <v>0</v>
      </c>
      <c r="AA38" s="261">
        <v>0</v>
      </c>
      <c r="AB38" s="261">
        <v>0</v>
      </c>
      <c r="AC38" s="261">
        <v>0</v>
      </c>
      <c r="AD38" s="261">
        <v>0</v>
      </c>
      <c r="AE38" s="261">
        <v>0</v>
      </c>
      <c r="AF38" s="261">
        <v>0</v>
      </c>
      <c r="AG38" s="261">
        <v>0</v>
      </c>
      <c r="AH38" s="261">
        <v>0</v>
      </c>
      <c r="AI38" s="261">
        <v>0</v>
      </c>
      <c r="AJ38" s="261">
        <v>0</v>
      </c>
      <c r="AK38" s="261">
        <v>0</v>
      </c>
      <c r="AL38" s="261">
        <v>0</v>
      </c>
      <c r="AM38"/>
      <c r="AN38" s="262" t="str">
        <f t="shared" si="8"/>
        <v>C3a - C&amp;I Statewide Marketing2020</v>
      </c>
      <c r="AO38" s="9">
        <f t="shared" si="9"/>
        <v>138784.4791679983</v>
      </c>
      <c r="AP38" s="10">
        <v>0</v>
      </c>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row>
    <row r="39" spans="1:87" s="262" customFormat="1" x14ac:dyDescent="0.2">
      <c r="A39" s="260" t="s">
        <v>294</v>
      </c>
      <c r="B39" s="260" t="s">
        <v>400</v>
      </c>
      <c r="C39" s="260">
        <v>2020</v>
      </c>
      <c r="D39" s="260" t="s">
        <v>401</v>
      </c>
      <c r="E39" s="260" t="s">
        <v>402</v>
      </c>
      <c r="F39" s="260" t="s">
        <v>346</v>
      </c>
      <c r="G39" s="260" t="s">
        <v>348</v>
      </c>
      <c r="H39" s="261">
        <v>3733.3499999999995</v>
      </c>
      <c r="I39" s="261">
        <v>0</v>
      </c>
      <c r="J39" s="261">
        <v>0</v>
      </c>
      <c r="K39" s="261">
        <v>0</v>
      </c>
      <c r="L39" s="261">
        <v>0</v>
      </c>
      <c r="M39" s="261">
        <v>0</v>
      </c>
      <c r="N39" s="261">
        <v>0</v>
      </c>
      <c r="O39" s="261">
        <v>0</v>
      </c>
      <c r="P39" s="261">
        <v>0</v>
      </c>
      <c r="Q39" s="261">
        <v>0</v>
      </c>
      <c r="R39" s="261">
        <v>0</v>
      </c>
      <c r="S39" s="261">
        <v>0</v>
      </c>
      <c r="T39" s="261">
        <v>0</v>
      </c>
      <c r="U39" s="261">
        <v>0</v>
      </c>
      <c r="V39" s="261">
        <v>0</v>
      </c>
      <c r="W39" s="261">
        <v>0</v>
      </c>
      <c r="X39" s="261">
        <v>0</v>
      </c>
      <c r="Y39" s="261">
        <v>0</v>
      </c>
      <c r="Z39" s="261">
        <v>0</v>
      </c>
      <c r="AA39" s="261">
        <v>0</v>
      </c>
      <c r="AB39" s="261">
        <v>0</v>
      </c>
      <c r="AC39" s="261">
        <v>0</v>
      </c>
      <c r="AD39" s="261">
        <v>0</v>
      </c>
      <c r="AE39" s="261">
        <v>0</v>
      </c>
      <c r="AF39" s="261">
        <v>0</v>
      </c>
      <c r="AG39" s="261">
        <v>0</v>
      </c>
      <c r="AH39" s="261">
        <v>0</v>
      </c>
      <c r="AI39" s="261">
        <v>0</v>
      </c>
      <c r="AJ39" s="261">
        <v>0</v>
      </c>
      <c r="AK39" s="261">
        <v>0</v>
      </c>
      <c r="AL39" s="261">
        <v>0</v>
      </c>
      <c r="AM39"/>
      <c r="AN39" s="262" t="str">
        <f t="shared" si="8"/>
        <v>C3b - C&amp;I Statewide Database2020</v>
      </c>
      <c r="AO39" s="9">
        <f t="shared" si="9"/>
        <v>3733.3499999999995</v>
      </c>
      <c r="AP39" s="10">
        <v>0</v>
      </c>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row>
    <row r="40" spans="1:87" s="262" customFormat="1" x14ac:dyDescent="0.2">
      <c r="A40" s="260" t="s">
        <v>294</v>
      </c>
      <c r="B40" s="260" t="s">
        <v>400</v>
      </c>
      <c r="C40" s="260">
        <v>2020</v>
      </c>
      <c r="D40" s="260" t="s">
        <v>401</v>
      </c>
      <c r="E40" s="260" t="s">
        <v>402</v>
      </c>
      <c r="F40" s="260" t="s">
        <v>346</v>
      </c>
      <c r="G40" s="260" t="s">
        <v>349</v>
      </c>
      <c r="H40" s="261">
        <v>316538.45292550203</v>
      </c>
      <c r="I40" s="261">
        <v>0</v>
      </c>
      <c r="J40" s="261">
        <v>0</v>
      </c>
      <c r="K40" s="261">
        <v>0</v>
      </c>
      <c r="L40" s="261">
        <v>0</v>
      </c>
      <c r="M40" s="261">
        <v>0</v>
      </c>
      <c r="N40" s="261">
        <v>0</v>
      </c>
      <c r="O40" s="261">
        <v>0</v>
      </c>
      <c r="P40" s="261">
        <v>0</v>
      </c>
      <c r="Q40" s="261">
        <v>0</v>
      </c>
      <c r="R40" s="261">
        <v>0</v>
      </c>
      <c r="S40" s="261">
        <v>0</v>
      </c>
      <c r="T40" s="261">
        <v>0</v>
      </c>
      <c r="U40" s="261">
        <v>0</v>
      </c>
      <c r="V40" s="261">
        <v>0</v>
      </c>
      <c r="W40" s="261">
        <v>0</v>
      </c>
      <c r="X40" s="261">
        <v>0</v>
      </c>
      <c r="Y40" s="261">
        <v>0</v>
      </c>
      <c r="Z40" s="261">
        <v>0</v>
      </c>
      <c r="AA40" s="261">
        <v>0</v>
      </c>
      <c r="AB40" s="261">
        <v>0</v>
      </c>
      <c r="AC40" s="261">
        <v>0</v>
      </c>
      <c r="AD40" s="261">
        <v>0</v>
      </c>
      <c r="AE40" s="261">
        <v>0</v>
      </c>
      <c r="AF40" s="261">
        <v>0</v>
      </c>
      <c r="AG40" s="261">
        <v>0</v>
      </c>
      <c r="AH40" s="261">
        <v>0</v>
      </c>
      <c r="AI40" s="261">
        <v>0</v>
      </c>
      <c r="AJ40" s="261">
        <v>0</v>
      </c>
      <c r="AK40" s="261">
        <v>0</v>
      </c>
      <c r="AL40" s="261">
        <v>0</v>
      </c>
      <c r="AM40"/>
      <c r="AN40" s="262" t="str">
        <f t="shared" si="8"/>
        <v>C3c - C&amp;I DOER Assessment2020</v>
      </c>
      <c r="AO40" s="9">
        <f t="shared" si="9"/>
        <v>316538.45292550203</v>
      </c>
      <c r="AP40" s="10">
        <v>0</v>
      </c>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row>
    <row r="41" spans="1:87" s="262" customFormat="1" x14ac:dyDescent="0.2">
      <c r="A41" s="260" t="s">
        <v>294</v>
      </c>
      <c r="B41" s="260" t="s">
        <v>400</v>
      </c>
      <c r="C41" s="260">
        <v>2020</v>
      </c>
      <c r="D41" s="260" t="s">
        <v>401</v>
      </c>
      <c r="E41" s="260" t="s">
        <v>402</v>
      </c>
      <c r="F41" s="260" t="s">
        <v>346</v>
      </c>
      <c r="G41" s="260" t="s">
        <v>351</v>
      </c>
      <c r="H41" s="261">
        <v>24795.07</v>
      </c>
      <c r="I41" s="261">
        <v>7985</v>
      </c>
      <c r="J41" s="261">
        <v>0</v>
      </c>
      <c r="K41" s="261">
        <v>19422.54</v>
      </c>
      <c r="L41" s="261">
        <v>0</v>
      </c>
      <c r="M41" s="261">
        <v>0</v>
      </c>
      <c r="N41" s="261">
        <v>0</v>
      </c>
      <c r="O41" s="261">
        <v>0</v>
      </c>
      <c r="P41" s="261">
        <v>0</v>
      </c>
      <c r="Q41" s="261">
        <v>0</v>
      </c>
      <c r="R41" s="261">
        <v>0</v>
      </c>
      <c r="S41" s="261">
        <v>0</v>
      </c>
      <c r="T41" s="261">
        <v>0</v>
      </c>
      <c r="U41" s="261">
        <v>0</v>
      </c>
      <c r="V41" s="261">
        <v>0</v>
      </c>
      <c r="W41" s="261">
        <v>0</v>
      </c>
      <c r="X41" s="261">
        <v>0</v>
      </c>
      <c r="Y41" s="261">
        <v>0</v>
      </c>
      <c r="Z41" s="261">
        <v>0</v>
      </c>
      <c r="AA41" s="261">
        <v>0</v>
      </c>
      <c r="AB41" s="261">
        <v>0</v>
      </c>
      <c r="AC41" s="261">
        <v>0</v>
      </c>
      <c r="AD41" s="261">
        <v>0</v>
      </c>
      <c r="AE41" s="261">
        <v>0</v>
      </c>
      <c r="AF41" s="261">
        <v>0</v>
      </c>
      <c r="AG41" s="261">
        <v>0</v>
      </c>
      <c r="AH41" s="261">
        <v>0</v>
      </c>
      <c r="AI41" s="261">
        <v>0</v>
      </c>
      <c r="AJ41" s="261">
        <v>0</v>
      </c>
      <c r="AK41" s="261">
        <v>0</v>
      </c>
      <c r="AL41" s="261">
        <v>0</v>
      </c>
      <c r="AM41"/>
      <c r="AN41" s="262" t="str">
        <f t="shared" si="8"/>
        <v>C3d - C&amp;I Sponsorships &amp; Subscriptions2020</v>
      </c>
      <c r="AO41" s="9">
        <f t="shared" si="9"/>
        <v>52202.61</v>
      </c>
      <c r="AP41" s="10">
        <v>0</v>
      </c>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row>
    <row r="42" spans="1:87" s="262" customFormat="1" x14ac:dyDescent="0.2">
      <c r="A42" s="260" t="s">
        <v>294</v>
      </c>
      <c r="B42" s="260" t="s">
        <v>400</v>
      </c>
      <c r="C42" s="260">
        <v>2020</v>
      </c>
      <c r="D42" s="260" t="s">
        <v>401</v>
      </c>
      <c r="E42" s="260" t="s">
        <v>402</v>
      </c>
      <c r="F42" s="260" t="s">
        <v>346</v>
      </c>
      <c r="G42" s="260" t="s">
        <v>353</v>
      </c>
      <c r="H42" s="261">
        <v>0</v>
      </c>
      <c r="I42" s="261">
        <v>9822.01</v>
      </c>
      <c r="J42" s="261">
        <v>0</v>
      </c>
      <c r="K42" s="261">
        <v>71123.5</v>
      </c>
      <c r="L42" s="261">
        <v>0</v>
      </c>
      <c r="M42" s="261">
        <v>0</v>
      </c>
      <c r="N42" s="261">
        <v>0</v>
      </c>
      <c r="O42" s="261">
        <v>0</v>
      </c>
      <c r="P42" s="261">
        <v>0</v>
      </c>
      <c r="Q42" s="261">
        <v>0</v>
      </c>
      <c r="R42" s="261">
        <v>0</v>
      </c>
      <c r="S42" s="261">
        <v>0</v>
      </c>
      <c r="T42" s="261">
        <v>0</v>
      </c>
      <c r="U42" s="261">
        <v>0</v>
      </c>
      <c r="V42" s="261">
        <v>0</v>
      </c>
      <c r="W42" s="261">
        <v>0</v>
      </c>
      <c r="X42" s="261">
        <v>0</v>
      </c>
      <c r="Y42" s="261">
        <v>0</v>
      </c>
      <c r="Z42" s="261">
        <v>0</v>
      </c>
      <c r="AA42" s="261">
        <v>0</v>
      </c>
      <c r="AB42" s="261">
        <v>0</v>
      </c>
      <c r="AC42" s="261">
        <v>0</v>
      </c>
      <c r="AD42" s="261">
        <v>0</v>
      </c>
      <c r="AE42" s="261">
        <v>0</v>
      </c>
      <c r="AF42" s="261">
        <v>0</v>
      </c>
      <c r="AG42" s="261">
        <v>0</v>
      </c>
      <c r="AH42" s="261">
        <v>0</v>
      </c>
      <c r="AI42" s="261">
        <v>0</v>
      </c>
      <c r="AJ42" s="261">
        <v>0</v>
      </c>
      <c r="AK42" s="261">
        <v>0</v>
      </c>
      <c r="AL42" s="261">
        <v>0</v>
      </c>
      <c r="AM42"/>
      <c r="AN42" s="262" t="str">
        <f t="shared" si="8"/>
        <v>C3e - C&amp;I Workforce Development2020</v>
      </c>
      <c r="AO42" s="9">
        <f t="shared" si="9"/>
        <v>80945.509999999995</v>
      </c>
      <c r="AP42" s="10">
        <v>0</v>
      </c>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row>
    <row r="43" spans="1:87" s="262" customFormat="1" x14ac:dyDescent="0.2">
      <c r="A43" s="260" t="s">
        <v>294</v>
      </c>
      <c r="B43" s="260" t="s">
        <v>400</v>
      </c>
      <c r="C43" s="260">
        <v>2020</v>
      </c>
      <c r="D43" s="260" t="s">
        <v>401</v>
      </c>
      <c r="E43" s="260" t="s">
        <v>402</v>
      </c>
      <c r="F43" s="260" t="s">
        <v>346</v>
      </c>
      <c r="G43" s="260" t="s">
        <v>354</v>
      </c>
      <c r="H43" s="261">
        <v>453.78000000000003</v>
      </c>
      <c r="I43" s="261">
        <v>16.940000000000001</v>
      </c>
      <c r="J43" s="261">
        <v>0</v>
      </c>
      <c r="K43" s="261">
        <v>582.71</v>
      </c>
      <c r="L43" s="261">
        <v>2581366.8562600054</v>
      </c>
      <c r="M43" s="261">
        <v>0</v>
      </c>
      <c r="N43" s="261">
        <v>0</v>
      </c>
      <c r="O43" s="261">
        <v>0</v>
      </c>
      <c r="P43" s="261">
        <v>0</v>
      </c>
      <c r="Q43" s="261">
        <v>0</v>
      </c>
      <c r="R43" s="261">
        <v>0</v>
      </c>
      <c r="S43" s="261">
        <v>0</v>
      </c>
      <c r="T43" s="261">
        <v>0</v>
      </c>
      <c r="U43" s="261">
        <v>0</v>
      </c>
      <c r="V43" s="261">
        <v>0</v>
      </c>
      <c r="W43" s="261">
        <v>0</v>
      </c>
      <c r="X43" s="261">
        <v>0</v>
      </c>
      <c r="Y43" s="261">
        <v>0</v>
      </c>
      <c r="Z43" s="261">
        <v>0</v>
      </c>
      <c r="AA43" s="261">
        <v>0</v>
      </c>
      <c r="AB43" s="261">
        <v>0</v>
      </c>
      <c r="AC43" s="261">
        <v>0</v>
      </c>
      <c r="AD43" s="261">
        <v>0</v>
      </c>
      <c r="AE43" s="261">
        <v>0</v>
      </c>
      <c r="AF43" s="261">
        <v>0</v>
      </c>
      <c r="AG43" s="261">
        <v>0</v>
      </c>
      <c r="AH43" s="261">
        <v>0</v>
      </c>
      <c r="AI43" s="261">
        <v>0</v>
      </c>
      <c r="AJ43" s="261">
        <v>0</v>
      </c>
      <c r="AK43" s="261">
        <v>0</v>
      </c>
      <c r="AL43" s="261">
        <v>0</v>
      </c>
      <c r="AM43"/>
      <c r="AN43" s="262" t="str">
        <f t="shared" si="8"/>
        <v>C3f - C&amp;I Evaluation and Market Research2020</v>
      </c>
      <c r="AO43" s="9">
        <f t="shared" si="9"/>
        <v>2582420.2862600056</v>
      </c>
      <c r="AP43" s="10">
        <v>0</v>
      </c>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row>
    <row r="44" spans="1:87" s="262" customFormat="1" x14ac:dyDescent="0.2">
      <c r="A44" s="260" t="s">
        <v>294</v>
      </c>
      <c r="B44" s="260" t="s">
        <v>400</v>
      </c>
      <c r="C44" s="260">
        <v>2020</v>
      </c>
      <c r="D44" s="260" t="s">
        <v>401</v>
      </c>
      <c r="E44" s="260" t="s">
        <v>402</v>
      </c>
      <c r="F44" s="260" t="s">
        <v>346</v>
      </c>
      <c r="G44" s="260" t="s">
        <v>356</v>
      </c>
      <c r="H44" s="261">
        <v>91518.111376358007</v>
      </c>
      <c r="I44" s="261">
        <v>0</v>
      </c>
      <c r="J44" s="261">
        <v>0</v>
      </c>
      <c r="K44" s="261">
        <v>0</v>
      </c>
      <c r="L44" s="261">
        <v>0</v>
      </c>
      <c r="M44" s="261">
        <v>0</v>
      </c>
      <c r="N44" s="261">
        <v>0</v>
      </c>
      <c r="O44" s="261">
        <v>0</v>
      </c>
      <c r="P44" s="261">
        <v>0</v>
      </c>
      <c r="Q44" s="261">
        <v>0</v>
      </c>
      <c r="R44" s="261">
        <v>0</v>
      </c>
      <c r="S44" s="261">
        <v>0</v>
      </c>
      <c r="T44" s="261">
        <v>0</v>
      </c>
      <c r="U44" s="261">
        <v>0</v>
      </c>
      <c r="V44" s="261">
        <v>0</v>
      </c>
      <c r="W44" s="261">
        <v>0</v>
      </c>
      <c r="X44" s="261">
        <v>0</v>
      </c>
      <c r="Y44" s="261">
        <v>0</v>
      </c>
      <c r="Z44" s="261">
        <v>0</v>
      </c>
      <c r="AA44" s="261">
        <v>0</v>
      </c>
      <c r="AB44" s="261">
        <v>0</v>
      </c>
      <c r="AC44" s="261">
        <v>0</v>
      </c>
      <c r="AD44" s="261">
        <v>0</v>
      </c>
      <c r="AE44" s="261">
        <v>0</v>
      </c>
      <c r="AF44" s="261">
        <v>0</v>
      </c>
      <c r="AG44" s="261">
        <v>0</v>
      </c>
      <c r="AH44" s="261">
        <v>0</v>
      </c>
      <c r="AI44" s="261">
        <v>0</v>
      </c>
      <c r="AJ44" s="261">
        <v>0</v>
      </c>
      <c r="AK44" s="261">
        <v>0</v>
      </c>
      <c r="AL44" s="261">
        <v>0</v>
      </c>
      <c r="AM44"/>
      <c r="AN44" s="262" t="str">
        <f t="shared" si="8"/>
        <v>C3g - C&amp;I EEAC Consultants2020</v>
      </c>
      <c r="AO44" s="9">
        <f t="shared" si="9"/>
        <v>91518.111376358007</v>
      </c>
      <c r="AP44" s="10">
        <v>0</v>
      </c>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row>
    <row r="45" spans="1:87" s="262" customFormat="1" x14ac:dyDescent="0.2">
      <c r="A45" s="260" t="s">
        <v>294</v>
      </c>
      <c r="B45" s="260" t="s">
        <v>400</v>
      </c>
      <c r="C45" s="260">
        <v>2020</v>
      </c>
      <c r="D45" s="260" t="s">
        <v>401</v>
      </c>
      <c r="E45" s="260" t="s">
        <v>402</v>
      </c>
      <c r="F45" s="260" t="s">
        <v>346</v>
      </c>
      <c r="G45" s="260" t="s">
        <v>358</v>
      </c>
      <c r="H45" s="261">
        <v>21364.83</v>
      </c>
      <c r="I45" s="261">
        <v>0</v>
      </c>
      <c r="J45" s="261">
        <v>0</v>
      </c>
      <c r="K45" s="261">
        <v>170687.22</v>
      </c>
      <c r="L45" s="261">
        <v>0</v>
      </c>
      <c r="M45" s="261">
        <v>0</v>
      </c>
      <c r="N45" s="261">
        <v>0</v>
      </c>
      <c r="O45" s="261">
        <v>0</v>
      </c>
      <c r="P45" s="261">
        <v>0</v>
      </c>
      <c r="Q45" s="261">
        <v>0</v>
      </c>
      <c r="R45" s="261">
        <v>0</v>
      </c>
      <c r="S45" s="261">
        <v>0</v>
      </c>
      <c r="T45" s="261">
        <v>0</v>
      </c>
      <c r="U45" s="261">
        <v>0</v>
      </c>
      <c r="V45" s="261">
        <v>0</v>
      </c>
      <c r="W45" s="261">
        <v>0</v>
      </c>
      <c r="X45" s="261">
        <v>0</v>
      </c>
      <c r="Y45" s="261">
        <v>0</v>
      </c>
      <c r="Z45" s="261">
        <v>0</v>
      </c>
      <c r="AA45" s="261">
        <v>0</v>
      </c>
      <c r="AB45" s="261">
        <v>0</v>
      </c>
      <c r="AC45" s="261">
        <v>0</v>
      </c>
      <c r="AD45" s="261">
        <v>0</v>
      </c>
      <c r="AE45" s="261">
        <v>0</v>
      </c>
      <c r="AF45" s="261">
        <v>0</v>
      </c>
      <c r="AG45" s="261">
        <v>0</v>
      </c>
      <c r="AH45" s="261">
        <v>0</v>
      </c>
      <c r="AI45" s="261">
        <v>0</v>
      </c>
      <c r="AJ45" s="261">
        <v>0</v>
      </c>
      <c r="AK45" s="261">
        <v>0</v>
      </c>
      <c r="AL45" s="261">
        <v>0</v>
      </c>
      <c r="AM45"/>
      <c r="AN45" s="262" t="str">
        <f t="shared" si="8"/>
        <v>C3h - C&amp;I R&amp;D and Demonstration2020</v>
      </c>
      <c r="AO45" s="9">
        <f t="shared" si="9"/>
        <v>192052.05</v>
      </c>
      <c r="AP45" s="10">
        <v>0</v>
      </c>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row>
    <row r="46" spans="1:87" s="262" customFormat="1" x14ac:dyDescent="0.2">
      <c r="A46" s="260" t="s">
        <v>294</v>
      </c>
      <c r="B46" s="260" t="s">
        <v>400</v>
      </c>
      <c r="C46" s="260">
        <v>2019</v>
      </c>
      <c r="D46" s="260" t="s">
        <v>401</v>
      </c>
      <c r="E46" s="260" t="s">
        <v>402</v>
      </c>
      <c r="F46" s="260" t="s">
        <v>337</v>
      </c>
      <c r="G46" s="260" t="s">
        <v>338</v>
      </c>
      <c r="H46" s="261">
        <v>324730.9046130355</v>
      </c>
      <c r="I46" s="261">
        <v>518048.83540621464</v>
      </c>
      <c r="J46" s="261">
        <v>3912626.4699999997</v>
      </c>
      <c r="K46" s="261">
        <v>1624079.7516205003</v>
      </c>
      <c r="L46" s="261">
        <v>669.54999999999973</v>
      </c>
      <c r="M46" s="261">
        <v>357754.29556838225</v>
      </c>
      <c r="N46" s="261">
        <v>1189393.2355800001</v>
      </c>
      <c r="O46" s="261">
        <v>0</v>
      </c>
      <c r="P46" s="261">
        <v>134</v>
      </c>
      <c r="Q46" s="261">
        <v>0</v>
      </c>
      <c r="R46" s="261">
        <v>0.27</v>
      </c>
      <c r="S46" s="261">
        <v>-25.7576</v>
      </c>
      <c r="T46" s="261">
        <v>-520.89415298188044</v>
      </c>
      <c r="U46" s="261">
        <v>-19.521176799999999</v>
      </c>
      <c r="V46" s="261">
        <v>-397.38212331463114</v>
      </c>
      <c r="W46" s="261">
        <v>-19.521176799999999</v>
      </c>
      <c r="X46" s="261">
        <v>-397.38212331463114</v>
      </c>
      <c r="Y46" s="261">
        <v>-64.55</v>
      </c>
      <c r="Z46" s="261">
        <v>-1013.31</v>
      </c>
      <c r="AA46" s="261">
        <v>1964716.153771508</v>
      </c>
      <c r="AB46" s="261">
        <v>34653149.155530155</v>
      </c>
      <c r="AC46" s="261">
        <v>1540021.5216332679</v>
      </c>
      <c r="AD46" s="261">
        <v>27206074.696374159</v>
      </c>
      <c r="AE46" s="261">
        <v>0</v>
      </c>
      <c r="AF46" s="261">
        <v>0</v>
      </c>
      <c r="AG46" s="261">
        <v>0</v>
      </c>
      <c r="AH46" s="261">
        <v>0</v>
      </c>
      <c r="AI46" s="261">
        <v>0</v>
      </c>
      <c r="AJ46" s="261">
        <v>0</v>
      </c>
      <c r="AK46" s="261">
        <v>1055399.4300000002</v>
      </c>
      <c r="AL46" s="261">
        <v>13425084.48</v>
      </c>
      <c r="AM46"/>
      <c r="AN46" s="262" t="str">
        <f t="shared" si="8"/>
        <v>C1a - C&amp;I New Buildings &amp; Major Renovations2019</v>
      </c>
      <c r="AO46" s="9">
        <f t="shared" si="9"/>
        <v>6380155.5116397496</v>
      </c>
      <c r="AP46" s="10">
        <v>4352667.8560598809</v>
      </c>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row>
    <row r="47" spans="1:87" s="262" customFormat="1" x14ac:dyDescent="0.2">
      <c r="A47" s="260" t="s">
        <v>294</v>
      </c>
      <c r="B47" s="260" t="s">
        <v>400</v>
      </c>
      <c r="C47" s="260">
        <v>2019</v>
      </c>
      <c r="D47" s="260" t="s">
        <v>401</v>
      </c>
      <c r="E47" s="260" t="s">
        <v>402</v>
      </c>
      <c r="F47" s="260" t="s">
        <v>340</v>
      </c>
      <c r="G47" s="260" t="s">
        <v>341</v>
      </c>
      <c r="H47" s="261">
        <v>1087619.5231353827</v>
      </c>
      <c r="I47" s="261">
        <v>1787425.8967583617</v>
      </c>
      <c r="J47" s="261">
        <v>16317490.319999998</v>
      </c>
      <c r="K47" s="261">
        <v>6425985.3442938719</v>
      </c>
      <c r="L47" s="261">
        <v>4287.9299999999994</v>
      </c>
      <c r="M47" s="261">
        <v>1173367.0521337399</v>
      </c>
      <c r="N47" s="261">
        <v>11328292.164540077</v>
      </c>
      <c r="O47" s="261">
        <v>0</v>
      </c>
      <c r="P47" s="261">
        <v>7750</v>
      </c>
      <c r="Q47" s="261">
        <v>2.1888289199707204E-2</v>
      </c>
      <c r="R47" s="261">
        <v>0</v>
      </c>
      <c r="S47" s="261">
        <v>266.81076000000002</v>
      </c>
      <c r="T47" s="261">
        <v>3436.9271873533262</v>
      </c>
      <c r="U47" s="261">
        <v>227.99827242000003</v>
      </c>
      <c r="V47" s="261">
        <v>2936.9814515934177</v>
      </c>
      <c r="W47" s="261">
        <v>227.99827242000003</v>
      </c>
      <c r="X47" s="261">
        <v>2936.9814515934177</v>
      </c>
      <c r="Y47" s="261">
        <v>1698.8925844061052</v>
      </c>
      <c r="Z47" s="261">
        <v>20576.741108190978</v>
      </c>
      <c r="AA47" s="261">
        <v>6693745.6138931178</v>
      </c>
      <c r="AB47" s="261">
        <v>87737211.052080244</v>
      </c>
      <c r="AC47" s="261">
        <v>5746667.3352724351</v>
      </c>
      <c r="AD47" s="261">
        <v>75985359.41856195</v>
      </c>
      <c r="AE47" s="261">
        <v>0</v>
      </c>
      <c r="AF47" s="261">
        <v>0</v>
      </c>
      <c r="AG47" s="261">
        <v>0</v>
      </c>
      <c r="AH47" s="261">
        <v>0</v>
      </c>
      <c r="AI47" s="261">
        <v>0</v>
      </c>
      <c r="AJ47" s="261">
        <v>0</v>
      </c>
      <c r="AK47" s="261">
        <v>72398276.379875004</v>
      </c>
      <c r="AL47" s="261">
        <v>695772823.86775017</v>
      </c>
      <c r="AM47"/>
      <c r="AN47" s="262" t="str">
        <f t="shared" si="8"/>
        <v>C2a - C&amp;I Existing Building Retrofit2019</v>
      </c>
      <c r="AO47" s="9">
        <f t="shared" si="9"/>
        <v>25622809.014187612</v>
      </c>
      <c r="AP47" s="10">
        <v>16242197.812392747</v>
      </c>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row>
    <row r="48" spans="1:87" s="262" customFormat="1" x14ac:dyDescent="0.2">
      <c r="A48" s="260" t="s">
        <v>294</v>
      </c>
      <c r="B48" s="260" t="s">
        <v>400</v>
      </c>
      <c r="C48" s="260">
        <v>2019</v>
      </c>
      <c r="D48" s="260" t="s">
        <v>401</v>
      </c>
      <c r="E48" s="260" t="s">
        <v>402</v>
      </c>
      <c r="F48" s="260" t="s">
        <v>340</v>
      </c>
      <c r="G48" s="260" t="s">
        <v>342</v>
      </c>
      <c r="H48" s="261">
        <v>372833.90687560913</v>
      </c>
      <c r="I48" s="261">
        <v>321935.53388798074</v>
      </c>
      <c r="J48" s="261">
        <v>6220666.1699999999</v>
      </c>
      <c r="K48" s="261">
        <v>4352591.640484021</v>
      </c>
      <c r="L48" s="261">
        <v>0</v>
      </c>
      <c r="M48" s="261">
        <v>349614.97463557159</v>
      </c>
      <c r="N48" s="261">
        <v>2502259.9970917334</v>
      </c>
      <c r="O48" s="261">
        <v>0</v>
      </c>
      <c r="P48" s="261">
        <v>13503</v>
      </c>
      <c r="Q48" s="261">
        <v>1.4104162163488376</v>
      </c>
      <c r="R48" s="261">
        <v>1.1111394277448703</v>
      </c>
      <c r="S48" s="261">
        <v>48.906799999999997</v>
      </c>
      <c r="T48" s="261">
        <v>890.85216328916681</v>
      </c>
      <c r="U48" s="261">
        <v>42.639895199999998</v>
      </c>
      <c r="V48" s="261">
        <v>776.79893553117779</v>
      </c>
      <c r="W48" s="261">
        <v>42.639895199999998</v>
      </c>
      <c r="X48" s="261">
        <v>776.79893553117779</v>
      </c>
      <c r="Y48" s="261">
        <v>46.023801725188775</v>
      </c>
      <c r="Z48" s="261">
        <v>752.60234203191976</v>
      </c>
      <c r="AA48" s="261">
        <v>2555894.5294177001</v>
      </c>
      <c r="AB48" s="261">
        <v>40472099.8012655</v>
      </c>
      <c r="AC48" s="261">
        <v>1896706.2353454002</v>
      </c>
      <c r="AD48" s="261">
        <v>29800358.105171002</v>
      </c>
      <c r="AE48" s="261">
        <v>0</v>
      </c>
      <c r="AF48" s="261">
        <v>0</v>
      </c>
      <c r="AG48" s="261">
        <v>0</v>
      </c>
      <c r="AH48" s="261">
        <v>0</v>
      </c>
      <c r="AI48" s="261">
        <v>0</v>
      </c>
      <c r="AJ48" s="261">
        <v>0</v>
      </c>
      <c r="AK48" s="261">
        <v>5455941.7499999991</v>
      </c>
      <c r="AL48" s="261">
        <v>61306467.599999994</v>
      </c>
      <c r="AM48"/>
      <c r="AN48" s="262" t="str">
        <f t="shared" si="8"/>
        <v>C2b - C&amp;I New &amp; Replacement Equipment2019</v>
      </c>
      <c r="AO48" s="9">
        <f t="shared" si="9"/>
        <v>11268027.251247611</v>
      </c>
      <c r="AP48" s="10">
        <v>5360790.1883219546</v>
      </c>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row>
    <row r="49" spans="1:87" s="262" customFormat="1" x14ac:dyDescent="0.2">
      <c r="A49" s="260" t="s">
        <v>294</v>
      </c>
      <c r="B49" s="260" t="s">
        <v>400</v>
      </c>
      <c r="C49" s="260">
        <v>2019</v>
      </c>
      <c r="D49" s="260" t="s">
        <v>401</v>
      </c>
      <c r="E49" s="260" t="s">
        <v>402</v>
      </c>
      <c r="F49" s="260" t="s">
        <v>346</v>
      </c>
      <c r="G49" s="260" t="s">
        <v>347</v>
      </c>
      <c r="H49" s="261">
        <v>2216.7865367553577</v>
      </c>
      <c r="I49" s="261">
        <v>256335.39000000004</v>
      </c>
      <c r="J49" s="261">
        <v>0</v>
      </c>
      <c r="K49" s="261">
        <v>0</v>
      </c>
      <c r="L49" s="261">
        <v>0</v>
      </c>
      <c r="M49" s="261">
        <v>0</v>
      </c>
      <c r="N49" s="261">
        <v>0</v>
      </c>
      <c r="O49" s="261">
        <v>0</v>
      </c>
      <c r="P49" s="261">
        <v>0</v>
      </c>
      <c r="Q49" s="261">
        <v>0</v>
      </c>
      <c r="R49" s="261">
        <v>0</v>
      </c>
      <c r="S49" s="261">
        <v>0</v>
      </c>
      <c r="T49" s="261">
        <v>0</v>
      </c>
      <c r="U49" s="261">
        <v>0</v>
      </c>
      <c r="V49" s="261">
        <v>0</v>
      </c>
      <c r="W49" s="261">
        <v>0</v>
      </c>
      <c r="X49" s="261">
        <v>0</v>
      </c>
      <c r="Y49" s="261">
        <v>0</v>
      </c>
      <c r="Z49" s="261">
        <v>0</v>
      </c>
      <c r="AA49" s="261">
        <v>0</v>
      </c>
      <c r="AB49" s="261">
        <v>0</v>
      </c>
      <c r="AC49" s="261">
        <v>0</v>
      </c>
      <c r="AD49" s="261">
        <v>0</v>
      </c>
      <c r="AE49" s="261">
        <v>0</v>
      </c>
      <c r="AF49" s="261">
        <v>0</v>
      </c>
      <c r="AG49" s="261">
        <v>0</v>
      </c>
      <c r="AH49" s="261">
        <v>0</v>
      </c>
      <c r="AI49" s="261">
        <v>0</v>
      </c>
      <c r="AJ49" s="261">
        <v>0</v>
      </c>
      <c r="AK49" s="261">
        <v>0</v>
      </c>
      <c r="AL49" s="261">
        <v>0</v>
      </c>
      <c r="AM49"/>
      <c r="AN49" s="262" t="str">
        <f t="shared" si="8"/>
        <v>C3a - C&amp;I Statewide Marketing2019</v>
      </c>
      <c r="AO49" s="9">
        <f t="shared" si="9"/>
        <v>258552.1765367554</v>
      </c>
      <c r="AP49" s="10">
        <v>0</v>
      </c>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row>
    <row r="50" spans="1:87" s="262" customFormat="1" x14ac:dyDescent="0.2">
      <c r="A50" s="260" t="s">
        <v>294</v>
      </c>
      <c r="B50" s="260" t="s">
        <v>400</v>
      </c>
      <c r="C50" s="260">
        <v>2019</v>
      </c>
      <c r="D50" s="260" t="s">
        <v>401</v>
      </c>
      <c r="E50" s="260" t="s">
        <v>402</v>
      </c>
      <c r="F50" s="260" t="s">
        <v>346</v>
      </c>
      <c r="G50" s="260" t="s">
        <v>348</v>
      </c>
      <c r="H50" s="261">
        <v>5192.8099999999995</v>
      </c>
      <c r="I50" s="261">
        <v>5.8699999999999992</v>
      </c>
      <c r="J50" s="261">
        <v>0</v>
      </c>
      <c r="K50" s="261">
        <v>0</v>
      </c>
      <c r="L50" s="261">
        <v>0</v>
      </c>
      <c r="M50" s="261">
        <v>0</v>
      </c>
      <c r="N50" s="261">
        <v>0</v>
      </c>
      <c r="O50" s="261">
        <v>0</v>
      </c>
      <c r="P50" s="261">
        <v>0</v>
      </c>
      <c r="Q50" s="261">
        <v>0</v>
      </c>
      <c r="R50" s="261">
        <v>0</v>
      </c>
      <c r="S50" s="261">
        <v>0</v>
      </c>
      <c r="T50" s="261">
        <v>0</v>
      </c>
      <c r="U50" s="261">
        <v>0</v>
      </c>
      <c r="V50" s="261">
        <v>0</v>
      </c>
      <c r="W50" s="261">
        <v>0</v>
      </c>
      <c r="X50" s="261">
        <v>0</v>
      </c>
      <c r="Y50" s="261">
        <v>0</v>
      </c>
      <c r="Z50" s="261">
        <v>0</v>
      </c>
      <c r="AA50" s="261">
        <v>0</v>
      </c>
      <c r="AB50" s="261">
        <v>0</v>
      </c>
      <c r="AC50" s="261">
        <v>0</v>
      </c>
      <c r="AD50" s="261">
        <v>0</v>
      </c>
      <c r="AE50" s="261">
        <v>0</v>
      </c>
      <c r="AF50" s="261">
        <v>0</v>
      </c>
      <c r="AG50" s="261">
        <v>0</v>
      </c>
      <c r="AH50" s="261">
        <v>0</v>
      </c>
      <c r="AI50" s="261">
        <v>0</v>
      </c>
      <c r="AJ50" s="261">
        <v>0</v>
      </c>
      <c r="AK50" s="261">
        <v>0</v>
      </c>
      <c r="AL50" s="261">
        <v>0</v>
      </c>
      <c r="AM50"/>
      <c r="AN50" s="262" t="str">
        <f t="shared" si="8"/>
        <v>C3b - C&amp;I Statewide Database2019</v>
      </c>
      <c r="AO50" s="9">
        <f t="shared" si="9"/>
        <v>5198.6799999999994</v>
      </c>
      <c r="AP50" s="10">
        <v>0</v>
      </c>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row>
    <row r="51" spans="1:87" s="262" customFormat="1" x14ac:dyDescent="0.2">
      <c r="A51" s="260" t="s">
        <v>294</v>
      </c>
      <c r="B51" s="260" t="s">
        <v>400</v>
      </c>
      <c r="C51" s="260">
        <v>2019</v>
      </c>
      <c r="D51" s="260" t="s">
        <v>401</v>
      </c>
      <c r="E51" s="260" t="s">
        <v>402</v>
      </c>
      <c r="F51" s="260" t="s">
        <v>346</v>
      </c>
      <c r="G51" s="260" t="s">
        <v>349</v>
      </c>
      <c r="H51" s="261">
        <v>267791.21061586088</v>
      </c>
      <c r="I51" s="261">
        <v>0</v>
      </c>
      <c r="J51" s="261">
        <v>0</v>
      </c>
      <c r="K51" s="261">
        <v>0</v>
      </c>
      <c r="L51" s="261">
        <v>0</v>
      </c>
      <c r="M51" s="261">
        <v>0</v>
      </c>
      <c r="N51" s="261">
        <v>0</v>
      </c>
      <c r="O51" s="261">
        <v>0</v>
      </c>
      <c r="P51" s="261">
        <v>0</v>
      </c>
      <c r="Q51" s="261">
        <v>0</v>
      </c>
      <c r="R51" s="261">
        <v>0</v>
      </c>
      <c r="S51" s="261">
        <v>0</v>
      </c>
      <c r="T51" s="261">
        <v>0</v>
      </c>
      <c r="U51" s="261">
        <v>0</v>
      </c>
      <c r="V51" s="261">
        <v>0</v>
      </c>
      <c r="W51" s="261">
        <v>0</v>
      </c>
      <c r="X51" s="261">
        <v>0</v>
      </c>
      <c r="Y51" s="261">
        <v>0</v>
      </c>
      <c r="Z51" s="261">
        <v>0</v>
      </c>
      <c r="AA51" s="261">
        <v>0</v>
      </c>
      <c r="AB51" s="261">
        <v>0</v>
      </c>
      <c r="AC51" s="261">
        <v>0</v>
      </c>
      <c r="AD51" s="261">
        <v>0</v>
      </c>
      <c r="AE51" s="261">
        <v>0</v>
      </c>
      <c r="AF51" s="261">
        <v>0</v>
      </c>
      <c r="AG51" s="261">
        <v>0</v>
      </c>
      <c r="AH51" s="261">
        <v>0</v>
      </c>
      <c r="AI51" s="261">
        <v>0</v>
      </c>
      <c r="AJ51" s="261">
        <v>0</v>
      </c>
      <c r="AK51" s="261">
        <v>0</v>
      </c>
      <c r="AL51" s="261">
        <v>0</v>
      </c>
      <c r="AM51"/>
      <c r="AN51" s="262" t="str">
        <f t="shared" si="8"/>
        <v>C3c - C&amp;I DOER Assessment2019</v>
      </c>
      <c r="AO51" s="9">
        <f t="shared" si="9"/>
        <v>267791.21061586088</v>
      </c>
      <c r="AP51" s="10">
        <v>0</v>
      </c>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row>
    <row r="52" spans="1:87" s="262" customFormat="1" x14ac:dyDescent="0.2">
      <c r="A52" s="260" t="s">
        <v>294</v>
      </c>
      <c r="B52" s="260" t="s">
        <v>400</v>
      </c>
      <c r="C52" s="260">
        <v>2019</v>
      </c>
      <c r="D52" s="260" t="s">
        <v>401</v>
      </c>
      <c r="E52" s="260" t="s">
        <v>402</v>
      </c>
      <c r="F52" s="260" t="s">
        <v>346</v>
      </c>
      <c r="G52" s="260" t="s">
        <v>351</v>
      </c>
      <c r="H52" s="261">
        <v>30064.760000000002</v>
      </c>
      <c r="I52" s="261">
        <v>2826.6</v>
      </c>
      <c r="J52" s="261">
        <v>0</v>
      </c>
      <c r="K52" s="261">
        <v>1314</v>
      </c>
      <c r="L52" s="261">
        <v>8736.94</v>
      </c>
      <c r="M52" s="261">
        <v>0</v>
      </c>
      <c r="N52" s="261">
        <v>0</v>
      </c>
      <c r="O52" s="261">
        <v>0</v>
      </c>
      <c r="P52" s="261">
        <v>0</v>
      </c>
      <c r="Q52" s="261">
        <v>0</v>
      </c>
      <c r="R52" s="261">
        <v>0</v>
      </c>
      <c r="S52" s="261">
        <v>0</v>
      </c>
      <c r="T52" s="261">
        <v>0</v>
      </c>
      <c r="U52" s="261">
        <v>0</v>
      </c>
      <c r="V52" s="261">
        <v>0</v>
      </c>
      <c r="W52" s="261">
        <v>0</v>
      </c>
      <c r="X52" s="261">
        <v>0</v>
      </c>
      <c r="Y52" s="261">
        <v>0</v>
      </c>
      <c r="Z52" s="261">
        <v>0</v>
      </c>
      <c r="AA52" s="261">
        <v>0</v>
      </c>
      <c r="AB52" s="261">
        <v>0</v>
      </c>
      <c r="AC52" s="261">
        <v>0</v>
      </c>
      <c r="AD52" s="261">
        <v>0</v>
      </c>
      <c r="AE52" s="261">
        <v>0</v>
      </c>
      <c r="AF52" s="261">
        <v>0</v>
      </c>
      <c r="AG52" s="261">
        <v>0</v>
      </c>
      <c r="AH52" s="261">
        <v>0</v>
      </c>
      <c r="AI52" s="261">
        <v>0</v>
      </c>
      <c r="AJ52" s="261">
        <v>0</v>
      </c>
      <c r="AK52" s="261">
        <v>0</v>
      </c>
      <c r="AL52" s="261">
        <v>0</v>
      </c>
      <c r="AM52"/>
      <c r="AN52" s="262" t="str">
        <f t="shared" si="8"/>
        <v>C3d - C&amp;I Sponsorships &amp; Subscriptions2019</v>
      </c>
      <c r="AO52" s="9">
        <f t="shared" si="9"/>
        <v>42942.3</v>
      </c>
      <c r="AP52" s="10">
        <v>0</v>
      </c>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row>
    <row r="53" spans="1:87" s="262" customFormat="1" x14ac:dyDescent="0.2">
      <c r="A53" s="260" t="s">
        <v>294</v>
      </c>
      <c r="B53" s="260" t="s">
        <v>400</v>
      </c>
      <c r="C53" s="260">
        <v>2019</v>
      </c>
      <c r="D53" s="260" t="s">
        <v>401</v>
      </c>
      <c r="E53" s="260" t="s">
        <v>402</v>
      </c>
      <c r="F53" s="260" t="s">
        <v>346</v>
      </c>
      <c r="G53" s="260" t="s">
        <v>353</v>
      </c>
      <c r="H53" s="261">
        <v>0</v>
      </c>
      <c r="I53" s="261">
        <v>0</v>
      </c>
      <c r="J53" s="261">
        <v>0</v>
      </c>
      <c r="K53" s="261">
        <v>93090.849999999991</v>
      </c>
      <c r="L53" s="261">
        <v>0</v>
      </c>
      <c r="M53" s="261">
        <v>0</v>
      </c>
      <c r="N53" s="261">
        <v>0</v>
      </c>
      <c r="O53" s="261">
        <v>0</v>
      </c>
      <c r="P53" s="261">
        <v>0</v>
      </c>
      <c r="Q53" s="261">
        <v>0</v>
      </c>
      <c r="R53" s="261">
        <v>0</v>
      </c>
      <c r="S53" s="261">
        <v>0</v>
      </c>
      <c r="T53" s="261">
        <v>0</v>
      </c>
      <c r="U53" s="261">
        <v>0</v>
      </c>
      <c r="V53" s="261">
        <v>0</v>
      </c>
      <c r="W53" s="261">
        <v>0</v>
      </c>
      <c r="X53" s="261">
        <v>0</v>
      </c>
      <c r="Y53" s="261">
        <v>0</v>
      </c>
      <c r="Z53" s="261">
        <v>0</v>
      </c>
      <c r="AA53" s="261">
        <v>0</v>
      </c>
      <c r="AB53" s="261">
        <v>0</v>
      </c>
      <c r="AC53" s="261">
        <v>0</v>
      </c>
      <c r="AD53" s="261">
        <v>0</v>
      </c>
      <c r="AE53" s="261">
        <v>0</v>
      </c>
      <c r="AF53" s="261">
        <v>0</v>
      </c>
      <c r="AG53" s="261">
        <v>0</v>
      </c>
      <c r="AH53" s="261">
        <v>0</v>
      </c>
      <c r="AI53" s="261">
        <v>0</v>
      </c>
      <c r="AJ53" s="261">
        <v>0</v>
      </c>
      <c r="AK53" s="261">
        <v>0</v>
      </c>
      <c r="AL53" s="261">
        <v>0</v>
      </c>
      <c r="AM53"/>
      <c r="AN53" s="262" t="str">
        <f t="shared" si="8"/>
        <v>C3e - C&amp;I Workforce Development2019</v>
      </c>
      <c r="AO53" s="9">
        <f t="shared" si="9"/>
        <v>93090.849999999991</v>
      </c>
      <c r="AP53" s="10">
        <v>0</v>
      </c>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row>
    <row r="54" spans="1:87" s="262" customFormat="1" x14ac:dyDescent="0.2">
      <c r="A54" s="260" t="s">
        <v>294</v>
      </c>
      <c r="B54" s="260" t="s">
        <v>400</v>
      </c>
      <c r="C54" s="260">
        <v>2019</v>
      </c>
      <c r="D54" s="260" t="s">
        <v>401</v>
      </c>
      <c r="E54" s="260" t="s">
        <v>402</v>
      </c>
      <c r="F54" s="260" t="s">
        <v>346</v>
      </c>
      <c r="G54" s="260" t="s">
        <v>354</v>
      </c>
      <c r="H54" s="261">
        <v>-849.34000000000049</v>
      </c>
      <c r="I54" s="261">
        <v>0</v>
      </c>
      <c r="J54" s="261">
        <v>0</v>
      </c>
      <c r="K54" s="261">
        <v>0</v>
      </c>
      <c r="L54" s="261">
        <v>2896382.7586277081</v>
      </c>
      <c r="M54" s="261">
        <v>0</v>
      </c>
      <c r="N54" s="261">
        <v>0</v>
      </c>
      <c r="O54" s="261">
        <v>0</v>
      </c>
      <c r="P54" s="261">
        <v>0</v>
      </c>
      <c r="Q54" s="261">
        <v>0</v>
      </c>
      <c r="R54" s="261">
        <v>0</v>
      </c>
      <c r="S54" s="261">
        <v>0</v>
      </c>
      <c r="T54" s="261">
        <v>0</v>
      </c>
      <c r="U54" s="261">
        <v>0</v>
      </c>
      <c r="V54" s="261">
        <v>0</v>
      </c>
      <c r="W54" s="261">
        <v>0</v>
      </c>
      <c r="X54" s="261">
        <v>0</v>
      </c>
      <c r="Y54" s="261">
        <v>0</v>
      </c>
      <c r="Z54" s="261">
        <v>0</v>
      </c>
      <c r="AA54" s="261">
        <v>0</v>
      </c>
      <c r="AB54" s="261">
        <v>0</v>
      </c>
      <c r="AC54" s="261">
        <v>0</v>
      </c>
      <c r="AD54" s="261">
        <v>0</v>
      </c>
      <c r="AE54" s="261">
        <v>0</v>
      </c>
      <c r="AF54" s="261">
        <v>0</v>
      </c>
      <c r="AG54" s="261">
        <v>0</v>
      </c>
      <c r="AH54" s="261">
        <v>0</v>
      </c>
      <c r="AI54" s="261">
        <v>0</v>
      </c>
      <c r="AJ54" s="261">
        <v>0</v>
      </c>
      <c r="AK54" s="261">
        <v>0</v>
      </c>
      <c r="AL54" s="261">
        <v>0</v>
      </c>
      <c r="AM54"/>
      <c r="AN54" s="262" t="str">
        <f t="shared" si="8"/>
        <v>C3f - C&amp;I Evaluation and Market Research2019</v>
      </c>
      <c r="AO54" s="9">
        <f t="shared" si="9"/>
        <v>2895533.4186277082</v>
      </c>
      <c r="AP54" s="10">
        <v>0</v>
      </c>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row>
    <row r="55" spans="1:87" s="262" customFormat="1" x14ac:dyDescent="0.2">
      <c r="A55" s="260" t="s">
        <v>294</v>
      </c>
      <c r="B55" s="260" t="s">
        <v>400</v>
      </c>
      <c r="C55" s="260">
        <v>2019</v>
      </c>
      <c r="D55" s="260" t="s">
        <v>401</v>
      </c>
      <c r="E55" s="260" t="s">
        <v>402</v>
      </c>
      <c r="F55" s="260" t="s">
        <v>346</v>
      </c>
      <c r="G55" s="260" t="s">
        <v>356</v>
      </c>
      <c r="H55" s="261">
        <v>69805.943297895792</v>
      </c>
      <c r="I55" s="261">
        <v>0</v>
      </c>
      <c r="J55" s="261">
        <v>0</v>
      </c>
      <c r="K55" s="261">
        <v>0</v>
      </c>
      <c r="L55" s="261">
        <v>0</v>
      </c>
      <c r="M55" s="261">
        <v>0</v>
      </c>
      <c r="N55" s="261">
        <v>0</v>
      </c>
      <c r="O55" s="261">
        <v>0</v>
      </c>
      <c r="P55" s="261">
        <v>0</v>
      </c>
      <c r="Q55" s="261">
        <v>0</v>
      </c>
      <c r="R55" s="261">
        <v>0</v>
      </c>
      <c r="S55" s="261">
        <v>0</v>
      </c>
      <c r="T55" s="261">
        <v>0</v>
      </c>
      <c r="U55" s="261">
        <v>0</v>
      </c>
      <c r="V55" s="261">
        <v>0</v>
      </c>
      <c r="W55" s="261">
        <v>0</v>
      </c>
      <c r="X55" s="261">
        <v>0</v>
      </c>
      <c r="Y55" s="261">
        <v>0</v>
      </c>
      <c r="Z55" s="261">
        <v>0</v>
      </c>
      <c r="AA55" s="261">
        <v>0</v>
      </c>
      <c r="AB55" s="261">
        <v>0</v>
      </c>
      <c r="AC55" s="261">
        <v>0</v>
      </c>
      <c r="AD55" s="261">
        <v>0</v>
      </c>
      <c r="AE55" s="261">
        <v>0</v>
      </c>
      <c r="AF55" s="261">
        <v>0</v>
      </c>
      <c r="AG55" s="261">
        <v>0</v>
      </c>
      <c r="AH55" s="261">
        <v>0</v>
      </c>
      <c r="AI55" s="261">
        <v>0</v>
      </c>
      <c r="AJ55" s="261">
        <v>0</v>
      </c>
      <c r="AK55" s="261">
        <v>0</v>
      </c>
      <c r="AL55" s="261">
        <v>0</v>
      </c>
      <c r="AM55"/>
      <c r="AN55" s="262" t="str">
        <f t="shared" si="8"/>
        <v>C3g - C&amp;I EEAC Consultants2019</v>
      </c>
      <c r="AO55" s="9">
        <f t="shared" si="9"/>
        <v>69805.943297895792</v>
      </c>
      <c r="AP55" s="10">
        <v>0</v>
      </c>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row>
    <row r="56" spans="1:87" s="262" customFormat="1" x14ac:dyDescent="0.2">
      <c r="A56" s="260" t="s">
        <v>294</v>
      </c>
      <c r="B56" s="260" t="s">
        <v>400</v>
      </c>
      <c r="C56" s="260">
        <v>2019</v>
      </c>
      <c r="D56" s="260" t="s">
        <v>401</v>
      </c>
      <c r="E56" s="260" t="s">
        <v>402</v>
      </c>
      <c r="F56" s="260" t="s">
        <v>346</v>
      </c>
      <c r="G56" s="260" t="s">
        <v>358</v>
      </c>
      <c r="H56" s="261">
        <v>17643.13</v>
      </c>
      <c r="I56" s="261">
        <v>0</v>
      </c>
      <c r="J56" s="261">
        <v>0</v>
      </c>
      <c r="K56" s="261">
        <v>55901.64</v>
      </c>
      <c r="L56" s="261">
        <v>0</v>
      </c>
      <c r="M56" s="261">
        <v>0</v>
      </c>
      <c r="N56" s="261">
        <v>0</v>
      </c>
      <c r="O56" s="261">
        <v>0</v>
      </c>
      <c r="P56" s="261">
        <v>0</v>
      </c>
      <c r="Q56" s="261">
        <v>0</v>
      </c>
      <c r="R56" s="261">
        <v>0</v>
      </c>
      <c r="S56" s="261">
        <v>0</v>
      </c>
      <c r="T56" s="261">
        <v>0</v>
      </c>
      <c r="U56" s="261">
        <v>0</v>
      </c>
      <c r="V56" s="261">
        <v>0</v>
      </c>
      <c r="W56" s="261">
        <v>0</v>
      </c>
      <c r="X56" s="261">
        <v>0</v>
      </c>
      <c r="Y56" s="261">
        <v>0</v>
      </c>
      <c r="Z56" s="261">
        <v>0</v>
      </c>
      <c r="AA56" s="261">
        <v>0</v>
      </c>
      <c r="AB56" s="261">
        <v>0</v>
      </c>
      <c r="AC56" s="261">
        <v>0</v>
      </c>
      <c r="AD56" s="261">
        <v>0</v>
      </c>
      <c r="AE56" s="261">
        <v>0</v>
      </c>
      <c r="AF56" s="261">
        <v>0</v>
      </c>
      <c r="AG56" s="261">
        <v>0</v>
      </c>
      <c r="AH56" s="261">
        <v>0</v>
      </c>
      <c r="AI56" s="261">
        <v>0</v>
      </c>
      <c r="AJ56" s="261">
        <v>0</v>
      </c>
      <c r="AK56" s="261">
        <v>0</v>
      </c>
      <c r="AL56" s="261">
        <v>0</v>
      </c>
      <c r="AM56"/>
      <c r="AN56" s="262" t="str">
        <f t="shared" si="8"/>
        <v>C3h - C&amp;I R&amp;D and Demonstration2019</v>
      </c>
      <c r="AO56" s="9">
        <f t="shared" si="9"/>
        <v>73544.77</v>
      </c>
      <c r="AP56" s="10">
        <v>0</v>
      </c>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row>
    <row r="57" spans="1:87" x14ac:dyDescent="0.2">
      <c r="A57" t="b">
        <f>IF(ISBLANK(A58),"",A34=A58)</f>
        <v>1</v>
      </c>
      <c r="B57" t="b">
        <f t="shared" ref="B57:AL57" si="10">IF(ISBLANK(B58),"",B34=B58)</f>
        <v>1</v>
      </c>
      <c r="C57" t="b">
        <f t="shared" si="10"/>
        <v>1</v>
      </c>
      <c r="D57" t="b">
        <f t="shared" si="10"/>
        <v>1</v>
      </c>
      <c r="E57" t="b">
        <f t="shared" si="10"/>
        <v>1</v>
      </c>
      <c r="F57" t="b">
        <f t="shared" si="10"/>
        <v>1</v>
      </c>
      <c r="G57" t="b">
        <f t="shared" si="10"/>
        <v>1</v>
      </c>
      <c r="H57" t="b">
        <f t="shared" si="10"/>
        <v>1</v>
      </c>
      <c r="I57" t="b">
        <f t="shared" si="10"/>
        <v>1</v>
      </c>
      <c r="J57" t="b">
        <f t="shared" si="10"/>
        <v>1</v>
      </c>
      <c r="K57" t="b">
        <f t="shared" si="10"/>
        <v>1</v>
      </c>
      <c r="L57" t="b">
        <f t="shared" si="10"/>
        <v>1</v>
      </c>
      <c r="M57" t="b">
        <f t="shared" si="10"/>
        <v>1</v>
      </c>
      <c r="N57" t="b">
        <f t="shared" si="10"/>
        <v>1</v>
      </c>
      <c r="O57" t="b">
        <f t="shared" si="10"/>
        <v>1</v>
      </c>
      <c r="P57" t="b">
        <f t="shared" si="10"/>
        <v>1</v>
      </c>
      <c r="Q57" t="b">
        <f t="shared" si="10"/>
        <v>1</v>
      </c>
      <c r="R57" t="b">
        <f t="shared" si="10"/>
        <v>1</v>
      </c>
      <c r="S57" t="b">
        <f t="shared" si="10"/>
        <v>1</v>
      </c>
      <c r="T57" t="b">
        <f t="shared" si="10"/>
        <v>1</v>
      </c>
      <c r="U57" t="b">
        <f t="shared" si="10"/>
        <v>1</v>
      </c>
      <c r="V57" t="b">
        <f t="shared" si="10"/>
        <v>1</v>
      </c>
      <c r="W57" t="str">
        <f t="shared" si="10"/>
        <v/>
      </c>
      <c r="X57" t="str">
        <f t="shared" si="10"/>
        <v/>
      </c>
      <c r="Y57" t="str">
        <f t="shared" si="10"/>
        <v/>
      </c>
      <c r="Z57" t="str">
        <f t="shared" si="10"/>
        <v/>
      </c>
      <c r="AA57" t="b">
        <f t="shared" si="10"/>
        <v>0</v>
      </c>
      <c r="AB57" t="b">
        <f t="shared" si="10"/>
        <v>1</v>
      </c>
      <c r="AC57" t="b">
        <f t="shared" si="10"/>
        <v>0</v>
      </c>
      <c r="AD57" t="b">
        <f t="shared" si="10"/>
        <v>1</v>
      </c>
      <c r="AE57" t="b">
        <f t="shared" si="10"/>
        <v>0</v>
      </c>
      <c r="AF57" t="b">
        <f t="shared" si="10"/>
        <v>0</v>
      </c>
      <c r="AG57" t="b">
        <f t="shared" si="10"/>
        <v>0</v>
      </c>
      <c r="AH57" t="b">
        <f t="shared" si="10"/>
        <v>0</v>
      </c>
      <c r="AI57" t="b">
        <f t="shared" si="10"/>
        <v>0</v>
      </c>
      <c r="AJ57" t="b">
        <f t="shared" si="10"/>
        <v>0</v>
      </c>
      <c r="AK57" t="b">
        <f t="shared" si="10"/>
        <v>1</v>
      </c>
      <c r="AL57" t="b">
        <f t="shared" si="10"/>
        <v>1</v>
      </c>
      <c r="AN57" s="262" t="str">
        <f t="shared" si="8"/>
        <v>TRUETRUE</v>
      </c>
      <c r="AO57" s="9">
        <f t="shared" si="9"/>
        <v>0</v>
      </c>
      <c r="AP57" s="10">
        <v>0</v>
      </c>
    </row>
    <row r="58" spans="1:87" s="271" customFormat="1" ht="80" x14ac:dyDescent="0.2">
      <c r="A58" s="263" t="s">
        <v>364</v>
      </c>
      <c r="B58" s="263" t="s">
        <v>365</v>
      </c>
      <c r="C58" s="263" t="s">
        <v>10</v>
      </c>
      <c r="D58" s="263" t="s">
        <v>366</v>
      </c>
      <c r="E58" s="263" t="s">
        <v>290</v>
      </c>
      <c r="F58" s="263" t="s">
        <v>58</v>
      </c>
      <c r="G58" s="263" t="s">
        <v>336</v>
      </c>
      <c r="H58" s="264" t="s">
        <v>367</v>
      </c>
      <c r="I58" s="264" t="s">
        <v>368</v>
      </c>
      <c r="J58" s="264" t="s">
        <v>369</v>
      </c>
      <c r="K58" s="264" t="s">
        <v>370</v>
      </c>
      <c r="L58" s="264" t="s">
        <v>371</v>
      </c>
      <c r="M58" s="264" t="s">
        <v>372</v>
      </c>
      <c r="N58" s="265" t="s">
        <v>373</v>
      </c>
      <c r="O58" s="266" t="s">
        <v>374</v>
      </c>
      <c r="P58" s="266" t="s">
        <v>375</v>
      </c>
      <c r="Q58" s="267" t="s">
        <v>376</v>
      </c>
      <c r="R58" s="267" t="s">
        <v>377</v>
      </c>
      <c r="S58" s="268" t="s">
        <v>378</v>
      </c>
      <c r="T58" s="268" t="s">
        <v>379</v>
      </c>
      <c r="U58" s="268" t="s">
        <v>380</v>
      </c>
      <c r="V58" s="268" t="s">
        <v>381</v>
      </c>
      <c r="W58" s="268"/>
      <c r="X58" s="268"/>
      <c r="Y58" s="268"/>
      <c r="Z58" s="268"/>
      <c r="AA58" s="269" t="s">
        <v>403</v>
      </c>
      <c r="AB58" s="269" t="s">
        <v>387</v>
      </c>
      <c r="AC58" s="269" t="s">
        <v>404</v>
      </c>
      <c r="AD58" s="269" t="s">
        <v>389</v>
      </c>
      <c r="AE58" s="270" t="s">
        <v>392</v>
      </c>
      <c r="AF58" s="270" t="s">
        <v>390</v>
      </c>
      <c r="AG58" s="270" t="s">
        <v>393</v>
      </c>
      <c r="AH58" s="270" t="s">
        <v>391</v>
      </c>
      <c r="AI58" s="270" t="s">
        <v>405</v>
      </c>
      <c r="AJ58" s="270" t="s">
        <v>406</v>
      </c>
      <c r="AK58" s="270" t="s">
        <v>396</v>
      </c>
      <c r="AL58" s="270" t="s">
        <v>397</v>
      </c>
      <c r="AM58"/>
      <c r="AN58" s="262" t="str">
        <f t="shared" si="8"/>
        <v>InitiativeYear</v>
      </c>
      <c r="AO58" s="9">
        <f t="shared" si="9"/>
        <v>0</v>
      </c>
      <c r="AP58" s="10" t="e">
        <v>#VALUE!</v>
      </c>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row>
    <row r="59" spans="1:87" s="275" customFormat="1" x14ac:dyDescent="0.2">
      <c r="A59" s="272" t="s">
        <v>294</v>
      </c>
      <c r="B59" s="272" t="s">
        <v>400</v>
      </c>
      <c r="C59" s="273">
        <v>2016</v>
      </c>
      <c r="D59" s="273" t="s">
        <v>401</v>
      </c>
      <c r="E59" s="273" t="s">
        <v>402</v>
      </c>
      <c r="F59" s="273" t="s">
        <v>407</v>
      </c>
      <c r="G59" s="273" t="s">
        <v>338</v>
      </c>
      <c r="H59" s="274">
        <v>488790.44917039078</v>
      </c>
      <c r="I59" s="274">
        <v>400019.24921379262</v>
      </c>
      <c r="J59" s="274">
        <v>6643529.75</v>
      </c>
      <c r="K59" s="274">
        <v>2045399.5882821383</v>
      </c>
      <c r="L59" s="274">
        <v>401561.15629317658</v>
      </c>
      <c r="M59" s="274">
        <v>510239.08085122879</v>
      </c>
      <c r="N59" s="274">
        <v>3130936.1321885716</v>
      </c>
      <c r="O59" s="274">
        <v>0</v>
      </c>
      <c r="P59" s="274">
        <v>539.07489200046962</v>
      </c>
      <c r="Q59" s="274">
        <v>0</v>
      </c>
      <c r="R59" s="274">
        <v>0</v>
      </c>
      <c r="S59" s="274">
        <v>0</v>
      </c>
      <c r="T59" s="274">
        <v>0</v>
      </c>
      <c r="U59" s="274">
        <v>0</v>
      </c>
      <c r="V59" s="274">
        <v>0</v>
      </c>
      <c r="W59" s="274"/>
      <c r="X59" s="274"/>
      <c r="Y59" s="274"/>
      <c r="Z59" s="274"/>
      <c r="AA59" s="274">
        <v>301086.96976809867</v>
      </c>
      <c r="AB59" s="274">
        <v>53288426.992804736</v>
      </c>
      <c r="AC59" s="274">
        <v>267727.40690666332</v>
      </c>
      <c r="AD59" s="274">
        <v>47603879.354722187</v>
      </c>
      <c r="AE59" s="274">
        <v>0</v>
      </c>
      <c r="AF59" s="274">
        <v>0</v>
      </c>
      <c r="AG59" s="274">
        <v>0</v>
      </c>
      <c r="AH59" s="274">
        <v>0</v>
      </c>
      <c r="AI59" s="274">
        <v>0</v>
      </c>
      <c r="AJ59" s="274">
        <v>0</v>
      </c>
      <c r="AK59" s="274">
        <v>230773.44</v>
      </c>
      <c r="AL59" s="274">
        <v>2769281.28</v>
      </c>
      <c r="AM59"/>
      <c r="AN59" s="262" t="str">
        <f t="shared" si="8"/>
        <v>C1a - C&amp;I New Buildings &amp; Major Renovations2016</v>
      </c>
      <c r="AO59" s="9">
        <f t="shared" si="9"/>
        <v>9979300.1929594986</v>
      </c>
      <c r="AP59" s="10">
        <v>7566962.2914945353</v>
      </c>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row>
    <row r="60" spans="1:87" s="275" customFormat="1" x14ac:dyDescent="0.2">
      <c r="A60" s="272" t="s">
        <v>294</v>
      </c>
      <c r="B60" s="272" t="s">
        <v>400</v>
      </c>
      <c r="C60" s="273">
        <v>2016</v>
      </c>
      <c r="D60" s="273" t="s">
        <v>401</v>
      </c>
      <c r="E60" s="273" t="s">
        <v>402</v>
      </c>
      <c r="F60" s="273" t="s">
        <v>407</v>
      </c>
      <c r="G60" s="273" t="s">
        <v>339</v>
      </c>
      <c r="H60" s="274">
        <v>361871.63549827266</v>
      </c>
      <c r="I60" s="274">
        <v>196256.85966649986</v>
      </c>
      <c r="J60" s="274">
        <v>7400866.9999999953</v>
      </c>
      <c r="K60" s="274">
        <v>2325890.0074931793</v>
      </c>
      <c r="L60" s="274">
        <v>262354.05204967636</v>
      </c>
      <c r="M60" s="274">
        <v>327190.50310521852</v>
      </c>
      <c r="N60" s="274">
        <v>3227249.709389112</v>
      </c>
      <c r="O60" s="274">
        <v>0</v>
      </c>
      <c r="P60" s="274">
        <v>2799.9303289796053</v>
      </c>
      <c r="Q60" s="274">
        <v>0</v>
      </c>
      <c r="R60" s="274">
        <v>0.1543968</v>
      </c>
      <c r="S60" s="274">
        <v>-18.178999999999998</v>
      </c>
      <c r="T60" s="274">
        <v>-467.411</v>
      </c>
      <c r="U60" s="274">
        <v>-15.947666000000003</v>
      </c>
      <c r="V60" s="274">
        <v>-407.90090599999991</v>
      </c>
      <c r="W60" s="274"/>
      <c r="X60" s="274"/>
      <c r="Y60" s="274"/>
      <c r="Z60" s="274"/>
      <c r="AA60" s="274">
        <v>260688.48180800001</v>
      </c>
      <c r="AB60" s="274">
        <v>42240818.952200003</v>
      </c>
      <c r="AC60" s="274">
        <v>216355.09359415801</v>
      </c>
      <c r="AD60" s="274">
        <v>34878275.610746406</v>
      </c>
      <c r="AE60" s="274">
        <v>0</v>
      </c>
      <c r="AF60" s="274">
        <v>0</v>
      </c>
      <c r="AG60" s="274">
        <v>0</v>
      </c>
      <c r="AH60" s="274">
        <v>0</v>
      </c>
      <c r="AI60" s="274">
        <v>0</v>
      </c>
      <c r="AJ60" s="274">
        <v>0</v>
      </c>
      <c r="AK60" s="274">
        <v>1664216.04</v>
      </c>
      <c r="AL60" s="274">
        <v>13345194.240000002</v>
      </c>
      <c r="AM60"/>
      <c r="AN60" s="262" t="str">
        <f t="shared" si="8"/>
        <v>C1b - C&amp;I Initial Purchase &amp; End of Useful Life2016</v>
      </c>
      <c r="AO60" s="9">
        <f t="shared" si="9"/>
        <v>10547239.554707622</v>
      </c>
      <c r="AP60" s="10">
        <v>6114991.5644255187</v>
      </c>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row>
    <row r="61" spans="1:87" s="275" customFormat="1" x14ac:dyDescent="0.2">
      <c r="A61" s="272" t="s">
        <v>294</v>
      </c>
      <c r="B61" s="272" t="s">
        <v>400</v>
      </c>
      <c r="C61" s="273">
        <v>2016</v>
      </c>
      <c r="D61" s="273" t="s">
        <v>401</v>
      </c>
      <c r="E61" s="273" t="s">
        <v>402</v>
      </c>
      <c r="F61" s="273" t="s">
        <v>408</v>
      </c>
      <c r="G61" s="273" t="s">
        <v>341</v>
      </c>
      <c r="H61" s="274">
        <v>1147663.6700347813</v>
      </c>
      <c r="I61" s="274">
        <v>979353.63077252719</v>
      </c>
      <c r="J61" s="274">
        <v>9716226.4699999969</v>
      </c>
      <c r="K61" s="274">
        <v>4236595.4662456</v>
      </c>
      <c r="L61" s="274">
        <v>672857.53495380422</v>
      </c>
      <c r="M61" s="274">
        <v>910324.99798610422</v>
      </c>
      <c r="N61" s="274">
        <v>10319999.295494445</v>
      </c>
      <c r="O61" s="274">
        <v>0</v>
      </c>
      <c r="P61" s="274">
        <v>560</v>
      </c>
      <c r="Q61" s="274">
        <v>0</v>
      </c>
      <c r="R61" s="274">
        <v>0</v>
      </c>
      <c r="S61" s="274">
        <v>239.86509871658561</v>
      </c>
      <c r="T61" s="274">
        <v>2622.6965875897527</v>
      </c>
      <c r="U61" s="274">
        <v>206.76371509369679</v>
      </c>
      <c r="V61" s="274">
        <v>2260.7644585023668</v>
      </c>
      <c r="W61" s="274"/>
      <c r="X61" s="274"/>
      <c r="Y61" s="274"/>
      <c r="Z61" s="274"/>
      <c r="AA61" s="274">
        <v>594357.53346999991</v>
      </c>
      <c r="AB61" s="274">
        <v>66541164.504199989</v>
      </c>
      <c r="AC61" s="274">
        <v>522848.14196760004</v>
      </c>
      <c r="AD61" s="274">
        <v>58780461.002959304</v>
      </c>
      <c r="AE61" s="274">
        <v>0</v>
      </c>
      <c r="AF61" s="274">
        <v>0</v>
      </c>
      <c r="AG61" s="274">
        <v>0</v>
      </c>
      <c r="AH61" s="274">
        <v>0</v>
      </c>
      <c r="AI61" s="274">
        <v>0</v>
      </c>
      <c r="AJ61" s="274">
        <v>0</v>
      </c>
      <c r="AK61" s="274">
        <v>103508125.82000001</v>
      </c>
      <c r="AL61" s="274">
        <v>615089374.86393321</v>
      </c>
      <c r="AM61"/>
      <c r="AN61" s="262" t="str">
        <f t="shared" si="8"/>
        <v>C2a - C&amp;I Existing Building Retrofit2016</v>
      </c>
      <c r="AO61" s="9">
        <f t="shared" si="9"/>
        <v>16752696.772006711</v>
      </c>
      <c r="AP61" s="10">
        <v>14777613.618863102</v>
      </c>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row>
    <row r="62" spans="1:87" s="275" customFormat="1" x14ac:dyDescent="0.2">
      <c r="A62" s="272" t="s">
        <v>294</v>
      </c>
      <c r="B62" s="272" t="s">
        <v>400</v>
      </c>
      <c r="C62" s="273">
        <v>2016</v>
      </c>
      <c r="D62" s="273" t="s">
        <v>401</v>
      </c>
      <c r="E62" s="273" t="s">
        <v>402</v>
      </c>
      <c r="F62" s="273" t="s">
        <v>408</v>
      </c>
      <c r="G62" s="273" t="s">
        <v>343</v>
      </c>
      <c r="H62" s="274">
        <v>142155.94538802013</v>
      </c>
      <c r="I62" s="274">
        <v>152863.63730879544</v>
      </c>
      <c r="J62" s="274">
        <v>972259.16999999981</v>
      </c>
      <c r="K62" s="274">
        <v>241209.82487813142</v>
      </c>
      <c r="L62" s="274">
        <v>88051.699563704533</v>
      </c>
      <c r="M62" s="274">
        <v>96000.049078324635</v>
      </c>
      <c r="N62" s="274">
        <v>392193.08246789564</v>
      </c>
      <c r="O62" s="274">
        <v>0</v>
      </c>
      <c r="P62" s="274">
        <v>1095.046047909387</v>
      </c>
      <c r="Q62" s="274">
        <v>0</v>
      </c>
      <c r="R62" s="274">
        <v>0</v>
      </c>
      <c r="S62" s="274">
        <v>0</v>
      </c>
      <c r="T62" s="274">
        <v>0</v>
      </c>
      <c r="U62" s="274">
        <v>0</v>
      </c>
      <c r="V62" s="274">
        <v>0</v>
      </c>
      <c r="W62" s="274"/>
      <c r="X62" s="274"/>
      <c r="Y62" s="274"/>
      <c r="Z62" s="274"/>
      <c r="AA62" s="274">
        <v>37111.688779999997</v>
      </c>
      <c r="AB62" s="274">
        <v>4257217.06458</v>
      </c>
      <c r="AC62" s="274">
        <v>30397.940684950001</v>
      </c>
      <c r="AD62" s="274">
        <v>3561852.5701894825</v>
      </c>
      <c r="AE62" s="274">
        <v>0</v>
      </c>
      <c r="AF62" s="274">
        <v>0</v>
      </c>
      <c r="AG62" s="274">
        <v>0</v>
      </c>
      <c r="AH62" s="274">
        <v>0</v>
      </c>
      <c r="AI62" s="274">
        <v>0</v>
      </c>
      <c r="AJ62" s="274">
        <v>0</v>
      </c>
      <c r="AK62" s="274">
        <v>43548726.536000006</v>
      </c>
      <c r="AL62" s="274">
        <v>374783367.3920905</v>
      </c>
      <c r="AM62"/>
      <c r="AN62" s="262" t="str">
        <f t="shared" si="8"/>
        <v>C2b - C&amp;I Small Business2016</v>
      </c>
      <c r="AO62" s="9">
        <f t="shared" si="9"/>
        <v>1596540.2771386513</v>
      </c>
      <c r="AP62" s="10">
        <v>859157.72897428903</v>
      </c>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row>
    <row r="63" spans="1:87" s="275" customFormat="1" x14ac:dyDescent="0.2">
      <c r="A63" s="272" t="s">
        <v>294</v>
      </c>
      <c r="B63" s="272" t="s">
        <v>400</v>
      </c>
      <c r="C63" s="273">
        <v>2016</v>
      </c>
      <c r="D63" s="273" t="s">
        <v>401</v>
      </c>
      <c r="E63" s="273" t="s">
        <v>402</v>
      </c>
      <c r="F63" s="273" t="s">
        <v>408</v>
      </c>
      <c r="G63" s="273" t="s">
        <v>344</v>
      </c>
      <c r="H63" s="274">
        <v>213989.89123220637</v>
      </c>
      <c r="I63" s="274">
        <v>133994.41048787383</v>
      </c>
      <c r="J63" s="274">
        <v>3152820.3200000008</v>
      </c>
      <c r="K63" s="274">
        <v>638917.49635906168</v>
      </c>
      <c r="L63" s="274">
        <v>177186.04950213479</v>
      </c>
      <c r="M63" s="274">
        <v>101769.92556301226</v>
      </c>
      <c r="N63" s="274">
        <v>-246991.87335999997</v>
      </c>
      <c r="O63" s="274">
        <v>0</v>
      </c>
      <c r="P63" s="274">
        <v>317.04604790938703</v>
      </c>
      <c r="Q63" s="274">
        <v>0</v>
      </c>
      <c r="R63" s="274">
        <v>0</v>
      </c>
      <c r="S63" s="274">
        <v>0</v>
      </c>
      <c r="T63" s="274">
        <v>0</v>
      </c>
      <c r="U63" s="274">
        <v>0</v>
      </c>
      <c r="V63" s="274">
        <v>0</v>
      </c>
      <c r="W63" s="274"/>
      <c r="X63" s="274"/>
      <c r="Y63" s="274"/>
      <c r="Z63" s="274"/>
      <c r="AA63" s="274">
        <v>37456.520834035589</v>
      </c>
      <c r="AB63" s="274">
        <v>5423428.0899325144</v>
      </c>
      <c r="AC63" s="274">
        <v>31996.495748328001</v>
      </c>
      <c r="AD63" s="274">
        <v>4668731.1385300001</v>
      </c>
      <c r="AE63" s="274">
        <v>0</v>
      </c>
      <c r="AF63" s="274">
        <v>0</v>
      </c>
      <c r="AG63" s="274">
        <v>0</v>
      </c>
      <c r="AH63" s="274">
        <v>0</v>
      </c>
      <c r="AI63" s="274">
        <v>0</v>
      </c>
      <c r="AJ63" s="274">
        <v>0</v>
      </c>
      <c r="AK63" s="274">
        <v>6521336.8799999999</v>
      </c>
      <c r="AL63" s="274">
        <v>46730280.299999997</v>
      </c>
      <c r="AM63"/>
      <c r="AN63" s="262" t="str">
        <f t="shared" si="8"/>
        <v>C2c - C&amp;I Multifamily Retrofit2016</v>
      </c>
      <c r="AO63" s="9">
        <f t="shared" si="9"/>
        <v>4316908.167581277</v>
      </c>
      <c r="AP63" s="10">
        <v>904338.78094509465</v>
      </c>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row>
    <row r="64" spans="1:87" s="275" customFormat="1" x14ac:dyDescent="0.2">
      <c r="A64" s="272" t="s">
        <v>294</v>
      </c>
      <c r="B64" s="272" t="s">
        <v>400</v>
      </c>
      <c r="C64" s="273">
        <v>2016</v>
      </c>
      <c r="D64" s="273" t="s">
        <v>401</v>
      </c>
      <c r="E64" s="273" t="s">
        <v>402</v>
      </c>
      <c r="F64" s="273" t="s">
        <v>408</v>
      </c>
      <c r="G64" s="273" t="s">
        <v>345</v>
      </c>
      <c r="H64" s="274">
        <v>0</v>
      </c>
      <c r="I64" s="274">
        <v>0</v>
      </c>
      <c r="J64" s="274">
        <v>0</v>
      </c>
      <c r="K64" s="274">
        <v>0</v>
      </c>
      <c r="L64" s="274">
        <v>0</v>
      </c>
      <c r="M64" s="274">
        <v>0</v>
      </c>
      <c r="N64" s="274">
        <v>0</v>
      </c>
      <c r="O64" s="274">
        <v>0</v>
      </c>
      <c r="P64" s="274">
        <v>0</v>
      </c>
      <c r="Q64" s="274">
        <v>0</v>
      </c>
      <c r="R64" s="274">
        <v>0</v>
      </c>
      <c r="S64" s="274">
        <v>0</v>
      </c>
      <c r="T64" s="274">
        <v>0</v>
      </c>
      <c r="U64" s="274">
        <v>0</v>
      </c>
      <c r="V64" s="274">
        <v>0</v>
      </c>
      <c r="W64" s="274"/>
      <c r="X64" s="274"/>
      <c r="Y64" s="274"/>
      <c r="Z64" s="274"/>
      <c r="AA64" s="274">
        <v>0</v>
      </c>
      <c r="AB64" s="274">
        <v>0</v>
      </c>
      <c r="AC64" s="274">
        <v>0</v>
      </c>
      <c r="AD64" s="274">
        <v>0</v>
      </c>
      <c r="AE64" s="274">
        <v>0</v>
      </c>
      <c r="AF64" s="274">
        <v>0</v>
      </c>
      <c r="AG64" s="274">
        <v>0</v>
      </c>
      <c r="AH64" s="274">
        <v>0</v>
      </c>
      <c r="AI64" s="274">
        <v>0</v>
      </c>
      <c r="AJ64" s="274">
        <v>0</v>
      </c>
      <c r="AK64" s="274">
        <v>0</v>
      </c>
      <c r="AL64" s="274">
        <v>0</v>
      </c>
      <c r="AM64"/>
      <c r="AN64" s="262" t="str">
        <f t="shared" si="8"/>
        <v>C2d - C&amp;I Upstream Lighting2016</v>
      </c>
      <c r="AO64" s="9">
        <f t="shared" si="9"/>
        <v>0</v>
      </c>
      <c r="AP64" s="10">
        <v>0</v>
      </c>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row>
    <row r="65" spans="1:87" s="275" customFormat="1" x14ac:dyDescent="0.2">
      <c r="A65" s="272" t="s">
        <v>294</v>
      </c>
      <c r="B65" s="272" t="s">
        <v>400</v>
      </c>
      <c r="C65" s="273">
        <v>2016</v>
      </c>
      <c r="D65" s="273" t="s">
        <v>401</v>
      </c>
      <c r="E65" s="273" t="s">
        <v>402</v>
      </c>
      <c r="F65" s="273" t="s">
        <v>346</v>
      </c>
      <c r="G65" s="273" t="s">
        <v>347</v>
      </c>
      <c r="H65" s="274">
        <v>2060.4183014434338</v>
      </c>
      <c r="I65" s="274">
        <v>382122.22212658229</v>
      </c>
      <c r="J65" s="274">
        <v>0</v>
      </c>
      <c r="K65" s="274">
        <v>0</v>
      </c>
      <c r="L65" s="274">
        <v>0</v>
      </c>
      <c r="M65" s="274">
        <v>0</v>
      </c>
      <c r="N65" s="274">
        <v>0</v>
      </c>
      <c r="O65" s="274">
        <v>0</v>
      </c>
      <c r="P65" s="274">
        <v>0</v>
      </c>
      <c r="Q65" s="274">
        <v>0</v>
      </c>
      <c r="R65" s="274">
        <v>0</v>
      </c>
      <c r="S65" s="274">
        <v>0</v>
      </c>
      <c r="T65" s="274">
        <v>0</v>
      </c>
      <c r="U65" s="274">
        <v>0</v>
      </c>
      <c r="V65" s="274">
        <v>0</v>
      </c>
      <c r="W65" s="274"/>
      <c r="X65" s="274"/>
      <c r="Y65" s="274"/>
      <c r="Z65" s="274"/>
      <c r="AA65" s="274">
        <v>0</v>
      </c>
      <c r="AB65" s="274">
        <v>0</v>
      </c>
      <c r="AC65" s="274">
        <v>0</v>
      </c>
      <c r="AD65" s="274">
        <v>0</v>
      </c>
      <c r="AE65" s="274">
        <v>0</v>
      </c>
      <c r="AF65" s="274">
        <v>0</v>
      </c>
      <c r="AG65" s="274">
        <v>0</v>
      </c>
      <c r="AH65" s="274">
        <v>0</v>
      </c>
      <c r="AI65" s="274">
        <v>0</v>
      </c>
      <c r="AJ65" s="274">
        <v>0</v>
      </c>
      <c r="AK65" s="274">
        <v>0</v>
      </c>
      <c r="AL65" s="274">
        <v>0</v>
      </c>
      <c r="AM65"/>
      <c r="AN65" s="262" t="str">
        <f t="shared" si="8"/>
        <v>C3a - C&amp;I Statewide Marketing2016</v>
      </c>
      <c r="AO65" s="9">
        <f t="shared" si="9"/>
        <v>384182.64042802574</v>
      </c>
      <c r="AP65" s="10">
        <v>0</v>
      </c>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row>
    <row r="66" spans="1:87" s="275" customFormat="1" x14ac:dyDescent="0.2">
      <c r="A66" s="272" t="s">
        <v>294</v>
      </c>
      <c r="B66" s="272" t="s">
        <v>400</v>
      </c>
      <c r="C66" s="273">
        <v>2016</v>
      </c>
      <c r="D66" s="273" t="s">
        <v>401</v>
      </c>
      <c r="E66" s="273" t="s">
        <v>402</v>
      </c>
      <c r="F66" s="273" t="s">
        <v>346</v>
      </c>
      <c r="G66" s="273" t="s">
        <v>348</v>
      </c>
      <c r="H66" s="274">
        <v>13950.98</v>
      </c>
      <c r="I66" s="274">
        <v>0</v>
      </c>
      <c r="J66" s="274">
        <v>0</v>
      </c>
      <c r="K66" s="274">
        <v>0</v>
      </c>
      <c r="L66" s="274">
        <v>0</v>
      </c>
      <c r="M66" s="274">
        <v>0</v>
      </c>
      <c r="N66" s="274">
        <v>0</v>
      </c>
      <c r="O66" s="274">
        <v>0</v>
      </c>
      <c r="P66" s="274">
        <v>0</v>
      </c>
      <c r="Q66" s="274">
        <v>0</v>
      </c>
      <c r="R66" s="274">
        <v>0</v>
      </c>
      <c r="S66" s="274">
        <v>0</v>
      </c>
      <c r="T66" s="274">
        <v>0</v>
      </c>
      <c r="U66" s="274">
        <v>0</v>
      </c>
      <c r="V66" s="274">
        <v>0</v>
      </c>
      <c r="W66" s="274"/>
      <c r="X66" s="274"/>
      <c r="Y66" s="274"/>
      <c r="Z66" s="274"/>
      <c r="AA66" s="274">
        <v>0</v>
      </c>
      <c r="AB66" s="274">
        <v>0</v>
      </c>
      <c r="AC66" s="274">
        <v>0</v>
      </c>
      <c r="AD66" s="274">
        <v>0</v>
      </c>
      <c r="AE66" s="274">
        <v>0</v>
      </c>
      <c r="AF66" s="274">
        <v>0</v>
      </c>
      <c r="AG66" s="274">
        <v>0</v>
      </c>
      <c r="AH66" s="274">
        <v>0</v>
      </c>
      <c r="AI66" s="274">
        <v>0</v>
      </c>
      <c r="AJ66" s="274">
        <v>0</v>
      </c>
      <c r="AK66" s="274">
        <v>0</v>
      </c>
      <c r="AL66" s="274">
        <v>0</v>
      </c>
      <c r="AM66"/>
      <c r="AN66" s="262" t="str">
        <f t="shared" si="8"/>
        <v>C3b - C&amp;I Statewide Database2016</v>
      </c>
      <c r="AO66" s="9">
        <f t="shared" si="9"/>
        <v>13950.98</v>
      </c>
      <c r="AP66" s="10">
        <v>0</v>
      </c>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row>
    <row r="67" spans="1:87" s="275" customFormat="1" x14ac:dyDescent="0.2">
      <c r="A67" s="272" t="s">
        <v>294</v>
      </c>
      <c r="B67" s="272" t="s">
        <v>400</v>
      </c>
      <c r="C67" s="273">
        <v>2016</v>
      </c>
      <c r="D67" s="273" t="s">
        <v>401</v>
      </c>
      <c r="E67" s="273" t="s">
        <v>402</v>
      </c>
      <c r="F67" s="273" t="s">
        <v>346</v>
      </c>
      <c r="G67" s="273" t="s">
        <v>349</v>
      </c>
      <c r="H67" s="274">
        <v>232815.37000000002</v>
      </c>
      <c r="I67" s="274">
        <v>0</v>
      </c>
      <c r="J67" s="274">
        <v>0</v>
      </c>
      <c r="K67" s="274">
        <v>0</v>
      </c>
      <c r="L67" s="274">
        <v>0</v>
      </c>
      <c r="M67" s="274">
        <v>0</v>
      </c>
      <c r="N67" s="274">
        <v>0</v>
      </c>
      <c r="O67" s="274">
        <v>0</v>
      </c>
      <c r="P67" s="274">
        <v>0</v>
      </c>
      <c r="Q67" s="274">
        <v>0</v>
      </c>
      <c r="R67" s="274">
        <v>0</v>
      </c>
      <c r="S67" s="274">
        <v>0</v>
      </c>
      <c r="T67" s="274">
        <v>0</v>
      </c>
      <c r="U67" s="274">
        <v>0</v>
      </c>
      <c r="V67" s="274">
        <v>0</v>
      </c>
      <c r="W67" s="274"/>
      <c r="X67" s="274"/>
      <c r="Y67" s="274"/>
      <c r="Z67" s="274"/>
      <c r="AA67" s="274">
        <v>0</v>
      </c>
      <c r="AB67" s="274">
        <v>0</v>
      </c>
      <c r="AC67" s="274">
        <v>0</v>
      </c>
      <c r="AD67" s="274">
        <v>0</v>
      </c>
      <c r="AE67" s="274">
        <v>0</v>
      </c>
      <c r="AF67" s="274">
        <v>0</v>
      </c>
      <c r="AG67" s="274">
        <v>0</v>
      </c>
      <c r="AH67" s="274">
        <v>0</v>
      </c>
      <c r="AI67" s="274">
        <v>0</v>
      </c>
      <c r="AJ67" s="274">
        <v>0</v>
      </c>
      <c r="AK67" s="274">
        <v>0</v>
      </c>
      <c r="AL67" s="274">
        <v>0</v>
      </c>
      <c r="AM67"/>
      <c r="AN67" s="262" t="str">
        <f t="shared" si="8"/>
        <v>C3c - C&amp;I DOER Assessment2016</v>
      </c>
      <c r="AO67" s="9">
        <f t="shared" si="9"/>
        <v>232815.37000000002</v>
      </c>
      <c r="AP67" s="10">
        <v>0</v>
      </c>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row>
    <row r="68" spans="1:87" s="275" customFormat="1" x14ac:dyDescent="0.2">
      <c r="A68" s="272" t="s">
        <v>294</v>
      </c>
      <c r="B68" s="272" t="s">
        <v>400</v>
      </c>
      <c r="C68" s="273">
        <v>2016</v>
      </c>
      <c r="D68" s="273" t="s">
        <v>401</v>
      </c>
      <c r="E68" s="273" t="s">
        <v>402</v>
      </c>
      <c r="F68" s="273" t="s">
        <v>346</v>
      </c>
      <c r="G68" s="273" t="s">
        <v>350</v>
      </c>
      <c r="H68" s="274">
        <v>81172.50575926379</v>
      </c>
      <c r="I68" s="274">
        <v>0</v>
      </c>
      <c r="J68" s="274">
        <v>0</v>
      </c>
      <c r="K68" s="274">
        <v>0</v>
      </c>
      <c r="L68" s="274">
        <v>0</v>
      </c>
      <c r="M68" s="274">
        <v>0</v>
      </c>
      <c r="N68" s="274">
        <v>0</v>
      </c>
      <c r="O68" s="274">
        <v>0</v>
      </c>
      <c r="P68" s="274">
        <v>0</v>
      </c>
      <c r="Q68" s="274">
        <v>0</v>
      </c>
      <c r="R68" s="274">
        <v>0</v>
      </c>
      <c r="S68" s="274">
        <v>0</v>
      </c>
      <c r="T68" s="274">
        <v>0</v>
      </c>
      <c r="U68" s="274">
        <v>0</v>
      </c>
      <c r="V68" s="274">
        <v>0</v>
      </c>
      <c r="W68" s="274"/>
      <c r="X68" s="274"/>
      <c r="Y68" s="274"/>
      <c r="Z68" s="274"/>
      <c r="AA68" s="274">
        <v>0</v>
      </c>
      <c r="AB68" s="274">
        <v>0</v>
      </c>
      <c r="AC68" s="274">
        <v>0</v>
      </c>
      <c r="AD68" s="274">
        <v>0</v>
      </c>
      <c r="AE68" s="274">
        <v>0</v>
      </c>
      <c r="AF68" s="274">
        <v>0</v>
      </c>
      <c r="AG68" s="274">
        <v>0</v>
      </c>
      <c r="AH68" s="274">
        <v>0</v>
      </c>
      <c r="AI68" s="274">
        <v>0</v>
      </c>
      <c r="AJ68" s="274">
        <v>0</v>
      </c>
      <c r="AK68" s="274">
        <v>0</v>
      </c>
      <c r="AL68" s="274">
        <v>0</v>
      </c>
      <c r="AM68"/>
      <c r="AN68" s="262" t="str">
        <f t="shared" si="8"/>
        <v>C3d - C&amp;I EEAC Consultants2016</v>
      </c>
      <c r="AO68" s="9">
        <f t="shared" si="9"/>
        <v>81172.50575926379</v>
      </c>
      <c r="AP68" s="10">
        <v>0</v>
      </c>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row>
    <row r="69" spans="1:87" s="275" customFormat="1" x14ac:dyDescent="0.2">
      <c r="A69" s="272" t="s">
        <v>294</v>
      </c>
      <c r="B69" s="272" t="s">
        <v>400</v>
      </c>
      <c r="C69" s="273">
        <v>2016</v>
      </c>
      <c r="D69" s="273" t="s">
        <v>401</v>
      </c>
      <c r="E69" s="273" t="s">
        <v>402</v>
      </c>
      <c r="F69" s="273" t="s">
        <v>346</v>
      </c>
      <c r="G69" s="273" t="s">
        <v>352</v>
      </c>
      <c r="H69" s="274">
        <v>17179.05</v>
      </c>
      <c r="I69" s="274">
        <v>845</v>
      </c>
      <c r="J69" s="274">
        <v>0</v>
      </c>
      <c r="K69" s="274">
        <v>0</v>
      </c>
      <c r="L69" s="274">
        <v>0</v>
      </c>
      <c r="M69" s="274">
        <v>0</v>
      </c>
      <c r="N69" s="274">
        <v>0</v>
      </c>
      <c r="O69" s="274">
        <v>0</v>
      </c>
      <c r="P69" s="274">
        <v>0</v>
      </c>
      <c r="Q69" s="274">
        <v>0</v>
      </c>
      <c r="R69" s="274">
        <v>0</v>
      </c>
      <c r="S69" s="274">
        <v>0</v>
      </c>
      <c r="T69" s="274">
        <v>0</v>
      </c>
      <c r="U69" s="274">
        <v>0</v>
      </c>
      <c r="V69" s="274">
        <v>0</v>
      </c>
      <c r="W69" s="274"/>
      <c r="X69" s="274"/>
      <c r="Y69" s="274"/>
      <c r="Z69" s="274"/>
      <c r="AA69" s="274">
        <v>0</v>
      </c>
      <c r="AB69" s="274">
        <v>0</v>
      </c>
      <c r="AC69" s="274">
        <v>0</v>
      </c>
      <c r="AD69" s="274">
        <v>0</v>
      </c>
      <c r="AE69" s="274">
        <v>0</v>
      </c>
      <c r="AF69" s="274">
        <v>0</v>
      </c>
      <c r="AG69" s="274">
        <v>0</v>
      </c>
      <c r="AH69" s="274">
        <v>0</v>
      </c>
      <c r="AI69" s="274">
        <v>0</v>
      </c>
      <c r="AJ69" s="274">
        <v>0</v>
      </c>
      <c r="AK69" s="274">
        <v>0</v>
      </c>
      <c r="AL69" s="274">
        <v>0</v>
      </c>
      <c r="AM69"/>
      <c r="AN69" s="262" t="str">
        <f t="shared" si="8"/>
        <v>C3e - C&amp;I Sponsorships &amp; Subscriptions2016</v>
      </c>
      <c r="AO69" s="9">
        <f t="shared" si="9"/>
        <v>18024.05</v>
      </c>
      <c r="AP69" s="10">
        <v>0</v>
      </c>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row>
    <row r="70" spans="1:87" s="275" customFormat="1" x14ac:dyDescent="0.2">
      <c r="A70" s="272" t="s">
        <v>294</v>
      </c>
      <c r="B70" s="272" t="s">
        <v>400</v>
      </c>
      <c r="C70" s="273">
        <v>2016</v>
      </c>
      <c r="D70" s="273" t="s">
        <v>401</v>
      </c>
      <c r="E70" s="273" t="s">
        <v>402</v>
      </c>
      <c r="F70" s="273" t="s">
        <v>346</v>
      </c>
      <c r="G70" s="273" t="s">
        <v>355</v>
      </c>
      <c r="H70" s="274">
        <v>-22.53</v>
      </c>
      <c r="I70" s="274">
        <v>0</v>
      </c>
      <c r="J70" s="274">
        <v>0</v>
      </c>
      <c r="K70" s="274">
        <v>34399.629999999997</v>
      </c>
      <c r="L70" s="274">
        <v>0</v>
      </c>
      <c r="M70" s="274">
        <v>0</v>
      </c>
      <c r="N70" s="274">
        <v>0</v>
      </c>
      <c r="O70" s="274">
        <v>0</v>
      </c>
      <c r="P70" s="274">
        <v>0</v>
      </c>
      <c r="Q70" s="274">
        <v>0</v>
      </c>
      <c r="R70" s="274">
        <v>0</v>
      </c>
      <c r="S70" s="274">
        <v>0</v>
      </c>
      <c r="T70" s="274">
        <v>0</v>
      </c>
      <c r="U70" s="274">
        <v>0</v>
      </c>
      <c r="V70" s="274">
        <v>0</v>
      </c>
      <c r="W70" s="274"/>
      <c r="X70" s="274"/>
      <c r="Y70" s="274"/>
      <c r="Z70" s="274"/>
      <c r="AA70" s="274">
        <v>0</v>
      </c>
      <c r="AB70" s="274">
        <v>0</v>
      </c>
      <c r="AC70" s="274">
        <v>0</v>
      </c>
      <c r="AD70" s="274">
        <v>0</v>
      </c>
      <c r="AE70" s="274">
        <v>0</v>
      </c>
      <c r="AF70" s="274">
        <v>0</v>
      </c>
      <c r="AG70" s="274">
        <v>0</v>
      </c>
      <c r="AH70" s="274">
        <v>0</v>
      </c>
      <c r="AI70" s="274">
        <v>0</v>
      </c>
      <c r="AJ70" s="274">
        <v>0</v>
      </c>
      <c r="AK70" s="274">
        <v>0</v>
      </c>
      <c r="AL70" s="274">
        <v>0</v>
      </c>
      <c r="AM70"/>
      <c r="AN70" s="262" t="str">
        <f t="shared" si="8"/>
        <v>C3f - C&amp;I Workforce Development2016</v>
      </c>
      <c r="AO70" s="9">
        <f t="shared" si="9"/>
        <v>34377.1</v>
      </c>
      <c r="AP70" s="10">
        <v>0</v>
      </c>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row>
    <row r="71" spans="1:87" s="275" customFormat="1" x14ac:dyDescent="0.2">
      <c r="A71" s="272" t="s">
        <v>294</v>
      </c>
      <c r="B71" s="272" t="s">
        <v>400</v>
      </c>
      <c r="C71" s="273">
        <v>2016</v>
      </c>
      <c r="D71" s="273" t="s">
        <v>401</v>
      </c>
      <c r="E71" s="273" t="s">
        <v>402</v>
      </c>
      <c r="F71" s="273" t="s">
        <v>346</v>
      </c>
      <c r="G71" s="273" t="s">
        <v>357</v>
      </c>
      <c r="H71" s="274">
        <v>8262.7900000000081</v>
      </c>
      <c r="I71" s="274">
        <v>0</v>
      </c>
      <c r="J71" s="274">
        <v>0</v>
      </c>
      <c r="K71" s="274">
        <v>59821.369999999806</v>
      </c>
      <c r="L71" s="274">
        <v>0</v>
      </c>
      <c r="M71" s="274">
        <v>0</v>
      </c>
      <c r="N71" s="274">
        <v>0</v>
      </c>
      <c r="O71" s="274">
        <v>0</v>
      </c>
      <c r="P71" s="274">
        <v>0</v>
      </c>
      <c r="Q71" s="274">
        <v>0</v>
      </c>
      <c r="R71" s="274">
        <v>0</v>
      </c>
      <c r="S71" s="274">
        <v>0</v>
      </c>
      <c r="T71" s="274">
        <v>0</v>
      </c>
      <c r="U71" s="274">
        <v>0</v>
      </c>
      <c r="V71" s="274">
        <v>0</v>
      </c>
      <c r="W71" s="274"/>
      <c r="X71" s="274"/>
      <c r="Y71" s="274"/>
      <c r="Z71" s="274"/>
      <c r="AA71" s="274">
        <v>0</v>
      </c>
      <c r="AB71" s="274">
        <v>0</v>
      </c>
      <c r="AC71" s="274">
        <v>0</v>
      </c>
      <c r="AD71" s="274">
        <v>0</v>
      </c>
      <c r="AE71" s="274">
        <v>0</v>
      </c>
      <c r="AF71" s="274">
        <v>0</v>
      </c>
      <c r="AG71" s="274">
        <v>0</v>
      </c>
      <c r="AH71" s="274">
        <v>0</v>
      </c>
      <c r="AI71" s="274">
        <v>0</v>
      </c>
      <c r="AJ71" s="274">
        <v>0</v>
      </c>
      <c r="AK71" s="274">
        <v>0</v>
      </c>
      <c r="AL71" s="274">
        <v>0</v>
      </c>
      <c r="AM71"/>
      <c r="AN71" s="262" t="str">
        <f t="shared" si="8"/>
        <v>C3g - C&amp;I R&amp;D and Demonstration2016</v>
      </c>
      <c r="AO71" s="9">
        <f t="shared" si="9"/>
        <v>68084.159999999814</v>
      </c>
      <c r="AP71" s="10">
        <v>0</v>
      </c>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row>
    <row r="72" spans="1:87" s="275" customFormat="1" x14ac:dyDescent="0.2">
      <c r="A72" s="272" t="s">
        <v>294</v>
      </c>
      <c r="B72" s="272" t="s">
        <v>400</v>
      </c>
      <c r="C72" s="273">
        <v>2017</v>
      </c>
      <c r="D72" s="273" t="s">
        <v>401</v>
      </c>
      <c r="E72" s="273" t="s">
        <v>402</v>
      </c>
      <c r="F72" s="273" t="s">
        <v>407</v>
      </c>
      <c r="G72" s="273" t="s">
        <v>338</v>
      </c>
      <c r="H72" s="274">
        <v>540279.30357619759</v>
      </c>
      <c r="I72" s="274">
        <v>499596.68063876458</v>
      </c>
      <c r="J72" s="274">
        <v>4104814.9437142843</v>
      </c>
      <c r="K72" s="274">
        <v>1527532.4906905992</v>
      </c>
      <c r="L72" s="274">
        <v>417421.19839483971</v>
      </c>
      <c r="M72" s="274">
        <v>419615.66669580055</v>
      </c>
      <c r="N72" s="274">
        <v>2234153.4852595446</v>
      </c>
      <c r="O72" s="274">
        <v>0</v>
      </c>
      <c r="P72" s="274">
        <v>168</v>
      </c>
      <c r="Q72" s="274">
        <v>0.32991951041603873</v>
      </c>
      <c r="R72" s="274">
        <v>3.1341760612708156</v>
      </c>
      <c r="S72" s="274">
        <v>14.75178</v>
      </c>
      <c r="T72" s="274">
        <v>225.54169999999999</v>
      </c>
      <c r="U72" s="274">
        <v>10.432057520000001</v>
      </c>
      <c r="V72" s="274">
        <v>160.24643130000004</v>
      </c>
      <c r="W72" s="274"/>
      <c r="X72" s="274"/>
      <c r="Y72" s="274"/>
      <c r="Z72" s="274"/>
      <c r="AA72" s="274">
        <v>241780.19162912894</v>
      </c>
      <c r="AB72" s="274">
        <v>42138699.026705168</v>
      </c>
      <c r="AC72" s="274">
        <v>216839.71890273376</v>
      </c>
      <c r="AD72" s="274">
        <v>37841324.029909469</v>
      </c>
      <c r="AE72" s="274">
        <v>0</v>
      </c>
      <c r="AF72" s="274">
        <v>0</v>
      </c>
      <c r="AG72" s="274">
        <v>0</v>
      </c>
      <c r="AH72" s="274">
        <v>0</v>
      </c>
      <c r="AI72" s="274">
        <v>0</v>
      </c>
      <c r="AJ72" s="274">
        <v>0</v>
      </c>
      <c r="AK72" s="274">
        <v>585.3626999999999</v>
      </c>
      <c r="AL72" s="274">
        <v>5853.6269999999986</v>
      </c>
      <c r="AM72"/>
      <c r="AN72" s="262" t="str">
        <f t="shared" si="8"/>
        <v>C1a - C&amp;I New Buildings &amp; Major Renovations2017</v>
      </c>
      <c r="AO72" s="9">
        <f t="shared" si="9"/>
        <v>7089644.6170146856</v>
      </c>
      <c r="AP72" s="10">
        <v>6128688.8600362558</v>
      </c>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row>
    <row r="73" spans="1:87" s="275" customFormat="1" x14ac:dyDescent="0.2">
      <c r="A73" s="272" t="s">
        <v>294</v>
      </c>
      <c r="B73" s="272" t="s">
        <v>400</v>
      </c>
      <c r="C73" s="273">
        <v>2017</v>
      </c>
      <c r="D73" s="273" t="s">
        <v>401</v>
      </c>
      <c r="E73" s="273" t="s">
        <v>402</v>
      </c>
      <c r="F73" s="273" t="s">
        <v>407</v>
      </c>
      <c r="G73" s="273" t="s">
        <v>339</v>
      </c>
      <c r="H73" s="274">
        <v>425653.32251362165</v>
      </c>
      <c r="I73" s="274">
        <v>154163.15224117565</v>
      </c>
      <c r="J73" s="274">
        <v>8581498.9240000006</v>
      </c>
      <c r="K73" s="274">
        <v>3688319.3020505197</v>
      </c>
      <c r="L73" s="274">
        <v>290886.3656704282</v>
      </c>
      <c r="M73" s="274">
        <v>269327.14736418874</v>
      </c>
      <c r="N73" s="274">
        <v>3775625.781494854</v>
      </c>
      <c r="O73" s="274">
        <v>0</v>
      </c>
      <c r="P73" s="274">
        <v>2277</v>
      </c>
      <c r="Q73" s="274">
        <v>0</v>
      </c>
      <c r="R73" s="274">
        <v>0.15008207592539696</v>
      </c>
      <c r="S73" s="274">
        <v>0.504</v>
      </c>
      <c r="T73" s="274">
        <v>9.0719999999999992</v>
      </c>
      <c r="U73" s="274">
        <v>0.37430399999999997</v>
      </c>
      <c r="V73" s="274">
        <v>6.7374719999999995</v>
      </c>
      <c r="W73" s="274"/>
      <c r="X73" s="274"/>
      <c r="Y73" s="274"/>
      <c r="Z73" s="274"/>
      <c r="AA73" s="274">
        <v>237667.16657352212</v>
      </c>
      <c r="AB73" s="274">
        <v>40241878.662028305</v>
      </c>
      <c r="AC73" s="274">
        <v>193293.0554847437</v>
      </c>
      <c r="AD73" s="274">
        <v>32741910.616002064</v>
      </c>
      <c r="AE73" s="274">
        <v>0</v>
      </c>
      <c r="AF73" s="274">
        <v>0</v>
      </c>
      <c r="AG73" s="274">
        <v>0</v>
      </c>
      <c r="AH73" s="274">
        <v>0</v>
      </c>
      <c r="AI73" s="274">
        <v>0</v>
      </c>
      <c r="AJ73" s="274">
        <v>0</v>
      </c>
      <c r="AK73" s="274">
        <v>1269893.4000000001</v>
      </c>
      <c r="AL73" s="274">
        <v>10925542.08</v>
      </c>
      <c r="AM73"/>
      <c r="AN73" s="262" t="str">
        <f t="shared" si="8"/>
        <v>C1b - C&amp;I Initial Purchase &amp; End of Useful Life2017</v>
      </c>
      <c r="AO73" s="9">
        <f t="shared" si="9"/>
        <v>13140521.066475745</v>
      </c>
      <c r="AP73" s="10">
        <v>5463173.453029152</v>
      </c>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row>
    <row r="74" spans="1:87" s="275" customFormat="1" x14ac:dyDescent="0.2">
      <c r="A74" s="272" t="s">
        <v>294</v>
      </c>
      <c r="B74" s="272" t="s">
        <v>400</v>
      </c>
      <c r="C74" s="273">
        <v>2017</v>
      </c>
      <c r="D74" s="273" t="s">
        <v>401</v>
      </c>
      <c r="E74" s="273" t="s">
        <v>402</v>
      </c>
      <c r="F74" s="273" t="s">
        <v>408</v>
      </c>
      <c r="G74" s="273" t="s">
        <v>341</v>
      </c>
      <c r="H74" s="274">
        <v>1275851.5869651285</v>
      </c>
      <c r="I74" s="274">
        <v>1234417.3368163293</v>
      </c>
      <c r="J74" s="274">
        <v>7968442.459999999</v>
      </c>
      <c r="K74" s="274">
        <v>4888298.2455675313</v>
      </c>
      <c r="L74" s="274">
        <v>743912.88739031879</v>
      </c>
      <c r="M74" s="274">
        <v>984354.74906190147</v>
      </c>
      <c r="N74" s="274">
        <v>8305254.6659017997</v>
      </c>
      <c r="O74" s="274">
        <v>0</v>
      </c>
      <c r="P74" s="274">
        <v>638</v>
      </c>
      <c r="Q74" s="274">
        <v>1.3718214404859164</v>
      </c>
      <c r="R74" s="274">
        <v>0</v>
      </c>
      <c r="S74" s="274">
        <v>0.97499999999999998</v>
      </c>
      <c r="T74" s="274">
        <v>14.625</v>
      </c>
      <c r="U74" s="274">
        <v>0.66397499999999998</v>
      </c>
      <c r="V74" s="274">
        <v>9.9596250000000008</v>
      </c>
      <c r="W74" s="274"/>
      <c r="X74" s="274"/>
      <c r="Y74" s="274"/>
      <c r="Z74" s="274"/>
      <c r="AA74" s="274">
        <v>598586.6431649999</v>
      </c>
      <c r="AB74" s="274">
        <v>71555774.14320001</v>
      </c>
      <c r="AC74" s="274">
        <v>523336.14975615207</v>
      </c>
      <c r="AD74" s="274">
        <v>62818163.326316357</v>
      </c>
      <c r="AE74" s="274">
        <v>0</v>
      </c>
      <c r="AF74" s="274">
        <v>0</v>
      </c>
      <c r="AG74" s="274">
        <v>0</v>
      </c>
      <c r="AH74" s="274">
        <v>0</v>
      </c>
      <c r="AI74" s="274">
        <v>0</v>
      </c>
      <c r="AJ74" s="274">
        <v>0</v>
      </c>
      <c r="AK74" s="274">
        <v>82019337.426854014</v>
      </c>
      <c r="AL74" s="274">
        <v>459934763.43690956</v>
      </c>
      <c r="AM74"/>
      <c r="AN74" s="262" t="str">
        <f t="shared" si="8"/>
        <v>C2a - C&amp;I Existing Building Retrofit2017</v>
      </c>
      <c r="AO74" s="9">
        <f t="shared" si="9"/>
        <v>16110922.516739309</v>
      </c>
      <c r="AP74" s="10">
        <v>14791406.515812259</v>
      </c>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row>
    <row r="75" spans="1:87" s="275" customFormat="1" x14ac:dyDescent="0.2">
      <c r="A75" s="272" t="s">
        <v>294</v>
      </c>
      <c r="B75" s="272" t="s">
        <v>400</v>
      </c>
      <c r="C75" s="273">
        <v>2017</v>
      </c>
      <c r="D75" s="273" t="s">
        <v>401</v>
      </c>
      <c r="E75" s="273" t="s">
        <v>402</v>
      </c>
      <c r="F75" s="273" t="s">
        <v>408</v>
      </c>
      <c r="G75" s="273" t="s">
        <v>343</v>
      </c>
      <c r="H75" s="274">
        <v>171185.59401234443</v>
      </c>
      <c r="I75" s="274">
        <v>241157.07841909191</v>
      </c>
      <c r="J75" s="274">
        <v>886965.76000000001</v>
      </c>
      <c r="K75" s="274">
        <v>241953.55078998872</v>
      </c>
      <c r="L75" s="274">
        <v>108533.28883253291</v>
      </c>
      <c r="M75" s="274">
        <v>113675.96992833682</v>
      </c>
      <c r="N75" s="274">
        <v>157645.06539195593</v>
      </c>
      <c r="O75" s="274">
        <v>0</v>
      </c>
      <c r="P75" s="274">
        <v>953</v>
      </c>
      <c r="Q75" s="274">
        <v>0</v>
      </c>
      <c r="R75" s="274">
        <v>0</v>
      </c>
      <c r="S75" s="274">
        <v>0</v>
      </c>
      <c r="T75" s="274">
        <v>0</v>
      </c>
      <c r="U75" s="274">
        <v>0</v>
      </c>
      <c r="V75" s="274">
        <v>0</v>
      </c>
      <c r="W75" s="274"/>
      <c r="X75" s="274"/>
      <c r="Y75" s="274"/>
      <c r="Z75" s="274"/>
      <c r="AA75" s="274">
        <v>40101.245178999998</v>
      </c>
      <c r="AB75" s="274">
        <v>4702896.4318500003</v>
      </c>
      <c r="AC75" s="274">
        <v>32295.553299177998</v>
      </c>
      <c r="AD75" s="274">
        <v>3861822.1627157009</v>
      </c>
      <c r="AE75" s="274">
        <v>0</v>
      </c>
      <c r="AF75" s="274">
        <v>0</v>
      </c>
      <c r="AG75" s="274">
        <v>0</v>
      </c>
      <c r="AH75" s="274">
        <v>0</v>
      </c>
      <c r="AI75" s="274">
        <v>0</v>
      </c>
      <c r="AJ75" s="274">
        <v>0</v>
      </c>
      <c r="AK75" s="274">
        <v>66339317.070356011</v>
      </c>
      <c r="AL75" s="274">
        <v>477764160.50327492</v>
      </c>
      <c r="AM75"/>
      <c r="AN75" s="262" t="str">
        <f t="shared" si="8"/>
        <v>C2b - C&amp;I Small Business2017</v>
      </c>
      <c r="AO75" s="9">
        <f t="shared" si="9"/>
        <v>1649795.2720539581</v>
      </c>
      <c r="AP75" s="10">
        <v>912791.24846201774</v>
      </c>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row>
    <row r="76" spans="1:87" s="275" customFormat="1" x14ac:dyDescent="0.2">
      <c r="A76" s="272" t="s">
        <v>294</v>
      </c>
      <c r="B76" s="272" t="s">
        <v>400</v>
      </c>
      <c r="C76" s="273">
        <v>2017</v>
      </c>
      <c r="D76" s="273" t="s">
        <v>401</v>
      </c>
      <c r="E76" s="273" t="s">
        <v>402</v>
      </c>
      <c r="F76" s="273" t="s">
        <v>408</v>
      </c>
      <c r="G76" s="273" t="s">
        <v>344</v>
      </c>
      <c r="H76" s="274">
        <v>211195.69362054422</v>
      </c>
      <c r="I76" s="274">
        <v>128085.78932153186</v>
      </c>
      <c r="J76" s="274">
        <v>3522956.67</v>
      </c>
      <c r="K76" s="274">
        <v>616730.05495197978</v>
      </c>
      <c r="L76" s="274">
        <v>218543.51290300343</v>
      </c>
      <c r="M76" s="274">
        <v>92637.091142223362</v>
      </c>
      <c r="N76" s="274">
        <v>-227275.77946999986</v>
      </c>
      <c r="O76" s="274">
        <v>0</v>
      </c>
      <c r="P76" s="274">
        <v>902</v>
      </c>
      <c r="Q76" s="274">
        <v>8.4717502206903212</v>
      </c>
      <c r="R76" s="274">
        <v>0</v>
      </c>
      <c r="S76" s="274">
        <v>4.7359999999999998</v>
      </c>
      <c r="T76" s="274">
        <v>67.025000000000006</v>
      </c>
      <c r="U76" s="274">
        <v>4.1004100000000001</v>
      </c>
      <c r="V76" s="274">
        <v>58.785249999999998</v>
      </c>
      <c r="W76" s="274"/>
      <c r="X76" s="274"/>
      <c r="Y76" s="274"/>
      <c r="Z76" s="274"/>
      <c r="AA76" s="274">
        <v>35806.479867724658</v>
      </c>
      <c r="AB76" s="274">
        <v>5881877.8742112434</v>
      </c>
      <c r="AC76" s="274">
        <v>30095.246285900001</v>
      </c>
      <c r="AD76" s="274">
        <v>4951495.9281409997</v>
      </c>
      <c r="AE76" s="274">
        <v>0</v>
      </c>
      <c r="AF76" s="274">
        <v>0</v>
      </c>
      <c r="AG76" s="274">
        <v>0</v>
      </c>
      <c r="AH76" s="274">
        <v>0</v>
      </c>
      <c r="AI76" s="274">
        <v>0</v>
      </c>
      <c r="AJ76" s="274">
        <v>0</v>
      </c>
      <c r="AK76" s="274">
        <v>2135834.3760000002</v>
      </c>
      <c r="AL76" s="274">
        <v>14950840.631999999</v>
      </c>
      <c r="AM76"/>
      <c r="AN76" s="262" t="str">
        <f t="shared" si="8"/>
        <v>C2c - C&amp;I Multifamily Retrofit2017</v>
      </c>
      <c r="AO76" s="9">
        <f t="shared" si="9"/>
        <v>4697511.7207970582</v>
      </c>
      <c r="AP76" s="10">
        <v>850602.47073635866</v>
      </c>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row>
    <row r="77" spans="1:87" s="275" customFormat="1" x14ac:dyDescent="0.2">
      <c r="A77" s="272" t="s">
        <v>294</v>
      </c>
      <c r="B77" s="272" t="s">
        <v>400</v>
      </c>
      <c r="C77" s="273">
        <v>2017</v>
      </c>
      <c r="D77" s="273" t="s">
        <v>401</v>
      </c>
      <c r="E77" s="273" t="s">
        <v>402</v>
      </c>
      <c r="F77" s="273" t="s">
        <v>408</v>
      </c>
      <c r="G77" s="273" t="s">
        <v>345</v>
      </c>
      <c r="H77" s="274">
        <v>0</v>
      </c>
      <c r="I77" s="274">
        <v>0</v>
      </c>
      <c r="J77" s="274">
        <v>0</v>
      </c>
      <c r="K77" s="274">
        <v>0</v>
      </c>
      <c r="L77" s="274">
        <v>0</v>
      </c>
      <c r="M77" s="274">
        <v>0</v>
      </c>
      <c r="N77" s="274">
        <v>0</v>
      </c>
      <c r="O77" s="274">
        <v>0</v>
      </c>
      <c r="P77" s="274">
        <v>0</v>
      </c>
      <c r="Q77" s="274">
        <v>0</v>
      </c>
      <c r="R77" s="274">
        <v>0</v>
      </c>
      <c r="S77" s="274">
        <v>0</v>
      </c>
      <c r="T77" s="274">
        <v>0</v>
      </c>
      <c r="U77" s="274">
        <v>0</v>
      </c>
      <c r="V77" s="274">
        <v>0</v>
      </c>
      <c r="W77" s="274"/>
      <c r="X77" s="274"/>
      <c r="Y77" s="274"/>
      <c r="Z77" s="274"/>
      <c r="AA77" s="274">
        <v>0</v>
      </c>
      <c r="AB77" s="274">
        <v>0</v>
      </c>
      <c r="AC77" s="274">
        <v>0</v>
      </c>
      <c r="AD77" s="274">
        <v>0</v>
      </c>
      <c r="AE77" s="274">
        <v>0</v>
      </c>
      <c r="AF77" s="274">
        <v>0</v>
      </c>
      <c r="AG77" s="274">
        <v>0</v>
      </c>
      <c r="AH77" s="274">
        <v>0</v>
      </c>
      <c r="AI77" s="274">
        <v>0</v>
      </c>
      <c r="AJ77" s="274">
        <v>0</v>
      </c>
      <c r="AK77" s="274">
        <v>0</v>
      </c>
      <c r="AL77" s="274">
        <v>0</v>
      </c>
      <c r="AM77"/>
      <c r="AN77" s="262" t="str">
        <f t="shared" si="8"/>
        <v>C2d - C&amp;I Upstream Lighting2017</v>
      </c>
      <c r="AO77" s="9">
        <f t="shared" si="9"/>
        <v>0</v>
      </c>
      <c r="AP77" s="10">
        <v>0</v>
      </c>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row>
    <row r="78" spans="1:87" s="275" customFormat="1" x14ac:dyDescent="0.2">
      <c r="A78" s="272" t="s">
        <v>294</v>
      </c>
      <c r="B78" s="272" t="s">
        <v>400</v>
      </c>
      <c r="C78" s="273">
        <v>2017</v>
      </c>
      <c r="D78" s="273" t="s">
        <v>401</v>
      </c>
      <c r="E78" s="273" t="s">
        <v>402</v>
      </c>
      <c r="F78" s="273" t="s">
        <v>346</v>
      </c>
      <c r="G78" s="273" t="s">
        <v>347</v>
      </c>
      <c r="H78" s="274">
        <v>2270.1518677962754</v>
      </c>
      <c r="I78" s="274">
        <v>351198.66</v>
      </c>
      <c r="J78" s="274">
        <v>0</v>
      </c>
      <c r="K78" s="274">
        <v>0</v>
      </c>
      <c r="L78" s="274">
        <v>0</v>
      </c>
      <c r="M78" s="274">
        <v>0</v>
      </c>
      <c r="N78" s="274">
        <v>0</v>
      </c>
      <c r="O78" s="274">
        <v>0</v>
      </c>
      <c r="P78" s="274">
        <v>0</v>
      </c>
      <c r="Q78" s="274">
        <v>0</v>
      </c>
      <c r="R78" s="274">
        <v>0</v>
      </c>
      <c r="S78" s="274">
        <v>0</v>
      </c>
      <c r="T78" s="274">
        <v>0</v>
      </c>
      <c r="U78" s="274">
        <v>0</v>
      </c>
      <c r="V78" s="274">
        <v>0</v>
      </c>
      <c r="W78" s="274"/>
      <c r="X78" s="274"/>
      <c r="Y78" s="274"/>
      <c r="Z78" s="274"/>
      <c r="AA78" s="274">
        <v>0</v>
      </c>
      <c r="AB78" s="274">
        <v>0</v>
      </c>
      <c r="AC78" s="274">
        <v>0</v>
      </c>
      <c r="AD78" s="274">
        <v>0</v>
      </c>
      <c r="AE78" s="274">
        <v>0</v>
      </c>
      <c r="AF78" s="274">
        <v>0</v>
      </c>
      <c r="AG78" s="274">
        <v>0</v>
      </c>
      <c r="AH78" s="274">
        <v>0</v>
      </c>
      <c r="AI78" s="274">
        <v>0</v>
      </c>
      <c r="AJ78" s="274">
        <v>0</v>
      </c>
      <c r="AK78" s="274">
        <v>0</v>
      </c>
      <c r="AL78" s="274">
        <v>0</v>
      </c>
      <c r="AM78"/>
      <c r="AN78" s="262" t="str">
        <f t="shared" si="8"/>
        <v>C3a - C&amp;I Statewide Marketing2017</v>
      </c>
      <c r="AO78" s="9">
        <f t="shared" si="9"/>
        <v>353468.81186779623</v>
      </c>
      <c r="AP78" s="10">
        <v>0</v>
      </c>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row>
    <row r="79" spans="1:87" s="275" customFormat="1" x14ac:dyDescent="0.2">
      <c r="A79" s="272" t="s">
        <v>294</v>
      </c>
      <c r="B79" s="272" t="s">
        <v>400</v>
      </c>
      <c r="C79" s="273">
        <v>2017</v>
      </c>
      <c r="D79" s="273" t="s">
        <v>401</v>
      </c>
      <c r="E79" s="273" t="s">
        <v>402</v>
      </c>
      <c r="F79" s="273" t="s">
        <v>346</v>
      </c>
      <c r="G79" s="273" t="s">
        <v>348</v>
      </c>
      <c r="H79" s="274">
        <v>3475.48</v>
      </c>
      <c r="I79" s="274">
        <v>0</v>
      </c>
      <c r="J79" s="274">
        <v>0</v>
      </c>
      <c r="K79" s="274">
        <v>0</v>
      </c>
      <c r="L79" s="274">
        <v>0</v>
      </c>
      <c r="M79" s="274">
        <v>0</v>
      </c>
      <c r="N79" s="274">
        <v>0</v>
      </c>
      <c r="O79" s="274">
        <v>0</v>
      </c>
      <c r="P79" s="274">
        <v>0</v>
      </c>
      <c r="Q79" s="274">
        <v>0</v>
      </c>
      <c r="R79" s="274">
        <v>0</v>
      </c>
      <c r="S79" s="274">
        <v>0</v>
      </c>
      <c r="T79" s="274">
        <v>0</v>
      </c>
      <c r="U79" s="274">
        <v>0</v>
      </c>
      <c r="V79" s="274">
        <v>0</v>
      </c>
      <c r="W79" s="274"/>
      <c r="X79" s="274"/>
      <c r="Y79" s="274"/>
      <c r="Z79" s="274"/>
      <c r="AA79" s="274">
        <v>0</v>
      </c>
      <c r="AB79" s="274">
        <v>0</v>
      </c>
      <c r="AC79" s="274">
        <v>0</v>
      </c>
      <c r="AD79" s="274">
        <v>0</v>
      </c>
      <c r="AE79" s="274">
        <v>0</v>
      </c>
      <c r="AF79" s="274">
        <v>0</v>
      </c>
      <c r="AG79" s="274">
        <v>0</v>
      </c>
      <c r="AH79" s="274">
        <v>0</v>
      </c>
      <c r="AI79" s="274">
        <v>0</v>
      </c>
      <c r="AJ79" s="274">
        <v>0</v>
      </c>
      <c r="AK79" s="274">
        <v>0</v>
      </c>
      <c r="AL79" s="274">
        <v>0</v>
      </c>
      <c r="AM79"/>
      <c r="AN79" s="262" t="str">
        <f t="shared" si="8"/>
        <v>C3b - C&amp;I Statewide Database2017</v>
      </c>
      <c r="AO79" s="9">
        <f t="shared" si="9"/>
        <v>3475.48</v>
      </c>
      <c r="AP79" s="10">
        <v>0</v>
      </c>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row>
    <row r="80" spans="1:87" s="275" customFormat="1" x14ac:dyDescent="0.2">
      <c r="A80" s="272" t="s">
        <v>294</v>
      </c>
      <c r="B80" s="272" t="s">
        <v>400</v>
      </c>
      <c r="C80" s="273">
        <v>2017</v>
      </c>
      <c r="D80" s="273" t="s">
        <v>401</v>
      </c>
      <c r="E80" s="273" t="s">
        <v>402</v>
      </c>
      <c r="F80" s="273" t="s">
        <v>346</v>
      </c>
      <c r="G80" s="273" t="s">
        <v>349</v>
      </c>
      <c r="H80" s="274">
        <v>409188.81</v>
      </c>
      <c r="I80" s="274">
        <v>0</v>
      </c>
      <c r="J80" s="274">
        <v>0</v>
      </c>
      <c r="K80" s="274">
        <v>0</v>
      </c>
      <c r="L80" s="274">
        <v>0</v>
      </c>
      <c r="M80" s="274">
        <v>0</v>
      </c>
      <c r="N80" s="274">
        <v>0</v>
      </c>
      <c r="O80" s="274">
        <v>0</v>
      </c>
      <c r="P80" s="274">
        <v>0</v>
      </c>
      <c r="Q80" s="274">
        <v>0</v>
      </c>
      <c r="R80" s="274">
        <v>0</v>
      </c>
      <c r="S80" s="274">
        <v>0</v>
      </c>
      <c r="T80" s="274">
        <v>0</v>
      </c>
      <c r="U80" s="274">
        <v>0</v>
      </c>
      <c r="V80" s="274">
        <v>0</v>
      </c>
      <c r="W80" s="274"/>
      <c r="X80" s="274"/>
      <c r="Y80" s="274"/>
      <c r="Z80" s="274"/>
      <c r="AA80" s="274">
        <v>0</v>
      </c>
      <c r="AB80" s="274">
        <v>0</v>
      </c>
      <c r="AC80" s="274">
        <v>0</v>
      </c>
      <c r="AD80" s="274">
        <v>0</v>
      </c>
      <c r="AE80" s="274">
        <v>0</v>
      </c>
      <c r="AF80" s="274">
        <v>0</v>
      </c>
      <c r="AG80" s="274">
        <v>0</v>
      </c>
      <c r="AH80" s="274">
        <v>0</v>
      </c>
      <c r="AI80" s="274">
        <v>0</v>
      </c>
      <c r="AJ80" s="274">
        <v>0</v>
      </c>
      <c r="AK80" s="274">
        <v>0</v>
      </c>
      <c r="AL80" s="274">
        <v>0</v>
      </c>
      <c r="AM80"/>
      <c r="AN80" s="262" t="str">
        <f t="shared" si="8"/>
        <v>C3c - C&amp;I DOER Assessment2017</v>
      </c>
      <c r="AO80" s="9">
        <f t="shared" si="9"/>
        <v>409188.81</v>
      </c>
      <c r="AP80" s="10">
        <v>0</v>
      </c>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row>
    <row r="81" spans="1:87" s="275" customFormat="1" x14ac:dyDescent="0.2">
      <c r="A81" s="272" t="s">
        <v>294</v>
      </c>
      <c r="B81" s="272" t="s">
        <v>400</v>
      </c>
      <c r="C81" s="273">
        <v>2017</v>
      </c>
      <c r="D81" s="273" t="s">
        <v>401</v>
      </c>
      <c r="E81" s="273" t="s">
        <v>402</v>
      </c>
      <c r="F81" s="273" t="s">
        <v>346</v>
      </c>
      <c r="G81" s="273" t="s">
        <v>350</v>
      </c>
      <c r="H81" s="274">
        <v>86981.133104048844</v>
      </c>
      <c r="I81" s="274">
        <v>0</v>
      </c>
      <c r="J81" s="274">
        <v>0</v>
      </c>
      <c r="K81" s="274">
        <v>0</v>
      </c>
      <c r="L81" s="274">
        <v>0</v>
      </c>
      <c r="M81" s="274">
        <v>0</v>
      </c>
      <c r="N81" s="274">
        <v>0</v>
      </c>
      <c r="O81" s="274">
        <v>0</v>
      </c>
      <c r="P81" s="274">
        <v>0</v>
      </c>
      <c r="Q81" s="274">
        <v>0</v>
      </c>
      <c r="R81" s="274">
        <v>0</v>
      </c>
      <c r="S81" s="274">
        <v>0</v>
      </c>
      <c r="T81" s="274">
        <v>0</v>
      </c>
      <c r="U81" s="274">
        <v>0</v>
      </c>
      <c r="V81" s="274">
        <v>0</v>
      </c>
      <c r="W81" s="274"/>
      <c r="X81" s="274"/>
      <c r="Y81" s="274"/>
      <c r="Z81" s="274"/>
      <c r="AA81" s="274">
        <v>0</v>
      </c>
      <c r="AB81" s="274">
        <v>0</v>
      </c>
      <c r="AC81" s="274">
        <v>0</v>
      </c>
      <c r="AD81" s="274">
        <v>0</v>
      </c>
      <c r="AE81" s="274">
        <v>0</v>
      </c>
      <c r="AF81" s="274">
        <v>0</v>
      </c>
      <c r="AG81" s="274">
        <v>0</v>
      </c>
      <c r="AH81" s="274">
        <v>0</v>
      </c>
      <c r="AI81" s="274">
        <v>0</v>
      </c>
      <c r="AJ81" s="274">
        <v>0</v>
      </c>
      <c r="AK81" s="274">
        <v>0</v>
      </c>
      <c r="AL81" s="274">
        <v>0</v>
      </c>
      <c r="AM81"/>
      <c r="AN81" s="262" t="str">
        <f t="shared" si="8"/>
        <v>C3d - C&amp;I EEAC Consultants2017</v>
      </c>
      <c r="AO81" s="9">
        <f t="shared" si="9"/>
        <v>86981.133104048844</v>
      </c>
      <c r="AP81" s="10">
        <v>0</v>
      </c>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row>
    <row r="82" spans="1:87" s="275" customFormat="1" x14ac:dyDescent="0.2">
      <c r="A82" s="272" t="s">
        <v>294</v>
      </c>
      <c r="B82" s="272" t="s">
        <v>400</v>
      </c>
      <c r="C82" s="273">
        <v>2017</v>
      </c>
      <c r="D82" s="273" t="s">
        <v>401</v>
      </c>
      <c r="E82" s="273" t="s">
        <v>402</v>
      </c>
      <c r="F82" s="273" t="s">
        <v>346</v>
      </c>
      <c r="G82" s="273" t="s">
        <v>352</v>
      </c>
      <c r="H82" s="274">
        <v>39252.57</v>
      </c>
      <c r="I82" s="274">
        <v>3351.6800000000003</v>
      </c>
      <c r="J82" s="274">
        <v>0</v>
      </c>
      <c r="K82" s="274">
        <v>0</v>
      </c>
      <c r="L82" s="274">
        <v>4320.62</v>
      </c>
      <c r="M82" s="274">
        <v>0</v>
      </c>
      <c r="N82" s="274">
        <v>0</v>
      </c>
      <c r="O82" s="274">
        <v>0</v>
      </c>
      <c r="P82" s="274">
        <v>0</v>
      </c>
      <c r="Q82" s="274">
        <v>0</v>
      </c>
      <c r="R82" s="274">
        <v>0</v>
      </c>
      <c r="S82" s="274">
        <v>0</v>
      </c>
      <c r="T82" s="274">
        <v>0</v>
      </c>
      <c r="U82" s="274">
        <v>0</v>
      </c>
      <c r="V82" s="274">
        <v>0</v>
      </c>
      <c r="W82" s="274"/>
      <c r="X82" s="274"/>
      <c r="Y82" s="274"/>
      <c r="Z82" s="274"/>
      <c r="AA82" s="274">
        <v>0</v>
      </c>
      <c r="AB82" s="274">
        <v>0</v>
      </c>
      <c r="AC82" s="274">
        <v>0</v>
      </c>
      <c r="AD82" s="274">
        <v>0</v>
      </c>
      <c r="AE82" s="274">
        <v>0</v>
      </c>
      <c r="AF82" s="274">
        <v>0</v>
      </c>
      <c r="AG82" s="274">
        <v>0</v>
      </c>
      <c r="AH82" s="274">
        <v>0</v>
      </c>
      <c r="AI82" s="274">
        <v>0</v>
      </c>
      <c r="AJ82" s="274">
        <v>0</v>
      </c>
      <c r="AK82" s="274">
        <v>0</v>
      </c>
      <c r="AL82" s="274">
        <v>0</v>
      </c>
      <c r="AM82"/>
      <c r="AN82" s="262" t="str">
        <f t="shared" si="8"/>
        <v>C3e - C&amp;I Sponsorships &amp; Subscriptions2017</v>
      </c>
      <c r="AO82" s="9">
        <f t="shared" si="9"/>
        <v>46924.87</v>
      </c>
      <c r="AP82" s="10">
        <v>0</v>
      </c>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row>
    <row r="83" spans="1:87" s="275" customFormat="1" x14ac:dyDescent="0.2">
      <c r="A83" s="272" t="s">
        <v>294</v>
      </c>
      <c r="B83" s="272" t="s">
        <v>400</v>
      </c>
      <c r="C83" s="273">
        <v>2017</v>
      </c>
      <c r="D83" s="273" t="s">
        <v>401</v>
      </c>
      <c r="E83" s="273" t="s">
        <v>402</v>
      </c>
      <c r="F83" s="273" t="s">
        <v>346</v>
      </c>
      <c r="G83" s="273" t="s">
        <v>355</v>
      </c>
      <c r="H83" s="274">
        <v>43.87</v>
      </c>
      <c r="I83" s="274">
        <v>0</v>
      </c>
      <c r="J83" s="274">
        <v>0</v>
      </c>
      <c r="K83" s="274">
        <v>19877.43</v>
      </c>
      <c r="L83" s="274">
        <v>0</v>
      </c>
      <c r="M83" s="274">
        <v>0</v>
      </c>
      <c r="N83" s="274">
        <v>0</v>
      </c>
      <c r="O83" s="274">
        <v>0</v>
      </c>
      <c r="P83" s="274">
        <v>0</v>
      </c>
      <c r="Q83" s="274">
        <v>0</v>
      </c>
      <c r="R83" s="274">
        <v>0</v>
      </c>
      <c r="S83" s="274">
        <v>0</v>
      </c>
      <c r="T83" s="274">
        <v>0</v>
      </c>
      <c r="U83" s="274">
        <v>0</v>
      </c>
      <c r="V83" s="274">
        <v>0</v>
      </c>
      <c r="W83" s="274"/>
      <c r="X83" s="274"/>
      <c r="Y83" s="274"/>
      <c r="Z83" s="274"/>
      <c r="AA83" s="274">
        <v>0</v>
      </c>
      <c r="AB83" s="274">
        <v>0</v>
      </c>
      <c r="AC83" s="274">
        <v>0</v>
      </c>
      <c r="AD83" s="274">
        <v>0</v>
      </c>
      <c r="AE83" s="274">
        <v>0</v>
      </c>
      <c r="AF83" s="274">
        <v>0</v>
      </c>
      <c r="AG83" s="274">
        <v>0</v>
      </c>
      <c r="AH83" s="274">
        <v>0</v>
      </c>
      <c r="AI83" s="274">
        <v>0</v>
      </c>
      <c r="AJ83" s="274">
        <v>0</v>
      </c>
      <c r="AK83" s="274">
        <v>0</v>
      </c>
      <c r="AL83" s="274">
        <v>0</v>
      </c>
      <c r="AM83"/>
      <c r="AN83" s="262" t="str">
        <f t="shared" si="8"/>
        <v>C3f - C&amp;I Workforce Development2017</v>
      </c>
      <c r="AO83" s="9">
        <f t="shared" si="9"/>
        <v>19921.3</v>
      </c>
      <c r="AP83" s="10">
        <v>0</v>
      </c>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row>
    <row r="84" spans="1:87" s="275" customFormat="1" x14ac:dyDescent="0.2">
      <c r="A84" s="272" t="s">
        <v>294</v>
      </c>
      <c r="B84" s="272" t="s">
        <v>400</v>
      </c>
      <c r="C84" s="273">
        <v>2017</v>
      </c>
      <c r="D84" s="273" t="s">
        <v>401</v>
      </c>
      <c r="E84" s="273" t="s">
        <v>402</v>
      </c>
      <c r="F84" s="273" t="s">
        <v>346</v>
      </c>
      <c r="G84" s="273" t="s">
        <v>357</v>
      </c>
      <c r="H84" s="274">
        <v>4070.54</v>
      </c>
      <c r="I84" s="274">
        <v>655.8</v>
      </c>
      <c r="J84" s="274">
        <v>0</v>
      </c>
      <c r="K84" s="274">
        <v>33111.75</v>
      </c>
      <c r="L84" s="274">
        <v>1594.5</v>
      </c>
      <c r="M84" s="274">
        <v>0</v>
      </c>
      <c r="N84" s="274">
        <v>0</v>
      </c>
      <c r="O84" s="274">
        <v>0</v>
      </c>
      <c r="P84" s="274">
        <v>0</v>
      </c>
      <c r="Q84" s="274">
        <v>0</v>
      </c>
      <c r="R84" s="274">
        <v>0</v>
      </c>
      <c r="S84" s="274">
        <v>0</v>
      </c>
      <c r="T84" s="274">
        <v>0</v>
      </c>
      <c r="U84" s="274">
        <v>0</v>
      </c>
      <c r="V84" s="274">
        <v>0</v>
      </c>
      <c r="W84" s="274"/>
      <c r="X84" s="274"/>
      <c r="Y84" s="274"/>
      <c r="Z84" s="274"/>
      <c r="AA84" s="274">
        <v>0</v>
      </c>
      <c r="AB84" s="274">
        <v>0</v>
      </c>
      <c r="AC84" s="274">
        <v>0</v>
      </c>
      <c r="AD84" s="274">
        <v>0</v>
      </c>
      <c r="AE84" s="274">
        <v>0</v>
      </c>
      <c r="AF84" s="274">
        <v>0</v>
      </c>
      <c r="AG84" s="274">
        <v>0</v>
      </c>
      <c r="AH84" s="274">
        <v>0</v>
      </c>
      <c r="AI84" s="274">
        <v>0</v>
      </c>
      <c r="AJ84" s="274">
        <v>0</v>
      </c>
      <c r="AK84" s="274">
        <v>0</v>
      </c>
      <c r="AL84" s="274">
        <v>0</v>
      </c>
      <c r="AM84"/>
      <c r="AN84" s="262" t="str">
        <f t="shared" si="8"/>
        <v>C3g - C&amp;I R&amp;D and Demonstration2017</v>
      </c>
      <c r="AO84" s="9">
        <f t="shared" si="9"/>
        <v>39432.589999999997</v>
      </c>
      <c r="AP84" s="10">
        <v>0</v>
      </c>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row>
    <row r="85" spans="1:87" s="275" customFormat="1" x14ac:dyDescent="0.2">
      <c r="A85" s="272" t="s">
        <v>294</v>
      </c>
      <c r="B85" s="272" t="s">
        <v>400</v>
      </c>
      <c r="C85" s="273">
        <v>2018</v>
      </c>
      <c r="D85" s="273" t="s">
        <v>401</v>
      </c>
      <c r="E85" s="273" t="s">
        <v>402</v>
      </c>
      <c r="F85" s="273" t="s">
        <v>407</v>
      </c>
      <c r="G85" s="273" t="s">
        <v>338</v>
      </c>
      <c r="H85" s="274">
        <v>615499.50366296817</v>
      </c>
      <c r="I85" s="274">
        <v>442980.17540793761</v>
      </c>
      <c r="J85" s="274">
        <v>4697200.2199999988</v>
      </c>
      <c r="K85" s="274">
        <v>1387532.9857164151</v>
      </c>
      <c r="L85" s="274">
        <v>569676.07698603265</v>
      </c>
      <c r="M85" s="274">
        <v>430803.74319562071</v>
      </c>
      <c r="N85" s="274">
        <v>3896529.7142366674</v>
      </c>
      <c r="O85" s="274">
        <v>0</v>
      </c>
      <c r="P85" s="274">
        <v>146</v>
      </c>
      <c r="Q85" s="274">
        <v>0</v>
      </c>
      <c r="R85" s="274">
        <v>0</v>
      </c>
      <c r="S85" s="274">
        <v>6.5937709999999994</v>
      </c>
      <c r="T85" s="274">
        <v>160.800095</v>
      </c>
      <c r="U85" s="274">
        <v>7.4773363139999995</v>
      </c>
      <c r="V85" s="274">
        <v>182.34730772999995</v>
      </c>
      <c r="W85" s="274"/>
      <c r="X85" s="274"/>
      <c r="Y85" s="274"/>
      <c r="Z85" s="274"/>
      <c r="AA85" s="274">
        <v>251796.95342930013</v>
      </c>
      <c r="AB85" s="274">
        <v>44159609.948560037</v>
      </c>
      <c r="AC85" s="274">
        <v>223985.30924862411</v>
      </c>
      <c r="AD85" s="274">
        <v>39203430.481606625</v>
      </c>
      <c r="AE85" s="274">
        <v>0</v>
      </c>
      <c r="AF85" s="274">
        <v>0</v>
      </c>
      <c r="AG85" s="274">
        <v>0</v>
      </c>
      <c r="AH85" s="274">
        <v>0</v>
      </c>
      <c r="AI85" s="274">
        <v>0</v>
      </c>
      <c r="AJ85" s="274">
        <v>0</v>
      </c>
      <c r="AK85" s="274">
        <v>488519.38999999996</v>
      </c>
      <c r="AL85" s="274">
        <v>7293596.8113786411</v>
      </c>
      <c r="AM85"/>
      <c r="AN85" s="262" t="str">
        <f t="shared" si="8"/>
        <v>C1a - C&amp;I New Buildings &amp; Major Renovations2018</v>
      </c>
      <c r="AO85" s="9">
        <f t="shared" si="9"/>
        <v>7712888.9617733518</v>
      </c>
      <c r="AP85" s="10">
        <v>6330649.5532747703</v>
      </c>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row>
    <row r="86" spans="1:87" s="275" customFormat="1" x14ac:dyDescent="0.2">
      <c r="A86" s="272" t="s">
        <v>294</v>
      </c>
      <c r="B86" s="272" t="s">
        <v>400</v>
      </c>
      <c r="C86" s="273">
        <v>2018</v>
      </c>
      <c r="D86" s="273" t="s">
        <v>401</v>
      </c>
      <c r="E86" s="273" t="s">
        <v>402</v>
      </c>
      <c r="F86" s="273" t="s">
        <v>407</v>
      </c>
      <c r="G86" s="273" t="s">
        <v>339</v>
      </c>
      <c r="H86" s="274">
        <v>436006.64459773852</v>
      </c>
      <c r="I86" s="274">
        <v>149176.97042183194</v>
      </c>
      <c r="J86" s="274">
        <v>6991325.2288800012</v>
      </c>
      <c r="K86" s="274">
        <v>3794478.2037301925</v>
      </c>
      <c r="L86" s="274">
        <v>459735.44113463815</v>
      </c>
      <c r="M86" s="274">
        <v>270239.31285264494</v>
      </c>
      <c r="N86" s="274">
        <v>7671575.8244152013</v>
      </c>
      <c r="O86" s="274">
        <v>0</v>
      </c>
      <c r="P86" s="274">
        <v>2212</v>
      </c>
      <c r="Q86" s="274">
        <v>0</v>
      </c>
      <c r="R86" s="274">
        <v>3.9729599999999997E-2</v>
      </c>
      <c r="S86" s="274">
        <v>0.16800000000000001</v>
      </c>
      <c r="T86" s="274">
        <v>3.024</v>
      </c>
      <c r="U86" s="274">
        <v>0.119616</v>
      </c>
      <c r="V86" s="274">
        <v>2.1530880000000003</v>
      </c>
      <c r="W86" s="274"/>
      <c r="X86" s="274"/>
      <c r="Y86" s="274"/>
      <c r="Z86" s="274"/>
      <c r="AA86" s="274">
        <v>235454.62144489598</v>
      </c>
      <c r="AB86" s="274">
        <v>39844416.896734402</v>
      </c>
      <c r="AC86" s="274">
        <v>193249.28071050622</v>
      </c>
      <c r="AD86" s="274">
        <v>32731482.65037594</v>
      </c>
      <c r="AE86" s="274">
        <v>0</v>
      </c>
      <c r="AF86" s="274">
        <v>0</v>
      </c>
      <c r="AG86" s="274">
        <v>0</v>
      </c>
      <c r="AH86" s="274">
        <v>0</v>
      </c>
      <c r="AI86" s="274">
        <v>0</v>
      </c>
      <c r="AJ86" s="274">
        <v>0</v>
      </c>
      <c r="AK86" s="274">
        <v>3167891.94</v>
      </c>
      <c r="AL86" s="274">
        <v>38014703.280000001</v>
      </c>
      <c r="AM86"/>
      <c r="AN86" s="262" t="str">
        <f t="shared" si="8"/>
        <v>C1b - C&amp;I Initial Purchase &amp; End of Useful Life2018</v>
      </c>
      <c r="AO86" s="9">
        <f t="shared" si="9"/>
        <v>11830722.488764402</v>
      </c>
      <c r="AP86" s="10">
        <v>5461936.2167304819</v>
      </c>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row>
    <row r="87" spans="1:87" s="275" customFormat="1" x14ac:dyDescent="0.2">
      <c r="A87" s="272" t="s">
        <v>294</v>
      </c>
      <c r="B87" s="272" t="s">
        <v>400</v>
      </c>
      <c r="C87" s="273">
        <v>2018</v>
      </c>
      <c r="D87" s="273" t="s">
        <v>401</v>
      </c>
      <c r="E87" s="273" t="s">
        <v>402</v>
      </c>
      <c r="F87" s="273" t="s">
        <v>408</v>
      </c>
      <c r="G87" s="273" t="s">
        <v>341</v>
      </c>
      <c r="H87" s="274">
        <v>1320038.8569468879</v>
      </c>
      <c r="I87" s="274">
        <v>1005346.9621365006</v>
      </c>
      <c r="J87" s="274">
        <v>15114094.289999999</v>
      </c>
      <c r="K87" s="274">
        <v>4564555.6798758656</v>
      </c>
      <c r="L87" s="274">
        <v>1118123.5481243252</v>
      </c>
      <c r="M87" s="274">
        <v>1238404.6769238578</v>
      </c>
      <c r="N87" s="274">
        <v>13694506.824150002</v>
      </c>
      <c r="O87" s="274">
        <v>0</v>
      </c>
      <c r="P87" s="274">
        <v>732</v>
      </c>
      <c r="Q87" s="274">
        <v>0</v>
      </c>
      <c r="R87" s="274">
        <v>0</v>
      </c>
      <c r="S87" s="274">
        <v>217.33199999999999</v>
      </c>
      <c r="T87" s="274">
        <v>2528.2464419287871</v>
      </c>
      <c r="U87" s="274">
        <v>187.34018400000002</v>
      </c>
      <c r="V87" s="274">
        <v>2179.3484329426146</v>
      </c>
      <c r="W87" s="274"/>
      <c r="X87" s="274"/>
      <c r="Y87" s="274"/>
      <c r="Z87" s="274"/>
      <c r="AA87" s="274">
        <v>810040.26509999996</v>
      </c>
      <c r="AB87" s="274">
        <v>89467982.798000023</v>
      </c>
      <c r="AC87" s="274">
        <v>704258.77994300006</v>
      </c>
      <c r="AD87" s="274">
        <v>78157462.709618002</v>
      </c>
      <c r="AE87" s="274">
        <v>0</v>
      </c>
      <c r="AF87" s="274">
        <v>0</v>
      </c>
      <c r="AG87" s="274">
        <v>0</v>
      </c>
      <c r="AH87" s="274">
        <v>0</v>
      </c>
      <c r="AI87" s="274">
        <v>0</v>
      </c>
      <c r="AJ87" s="274">
        <v>0</v>
      </c>
      <c r="AK87" s="274">
        <v>28418083.348720003</v>
      </c>
      <c r="AL87" s="274">
        <v>386153084.64146292</v>
      </c>
      <c r="AM87"/>
      <c r="AN87" s="262" t="str">
        <f t="shared" si="8"/>
        <v>C2a - C&amp;I Existing Building Retrofit2018</v>
      </c>
      <c r="AO87" s="9">
        <f t="shared" si="9"/>
        <v>23122159.337083578</v>
      </c>
      <c r="AP87" s="10">
        <v>19904946.202016931</v>
      </c>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row>
    <row r="88" spans="1:87" s="275" customFormat="1" x14ac:dyDescent="0.2">
      <c r="A88" s="272" t="s">
        <v>294</v>
      </c>
      <c r="B88" s="272" t="s">
        <v>400</v>
      </c>
      <c r="C88" s="273">
        <v>2018</v>
      </c>
      <c r="D88" s="273" t="s">
        <v>401</v>
      </c>
      <c r="E88" s="273" t="s">
        <v>402</v>
      </c>
      <c r="F88" s="273" t="s">
        <v>408</v>
      </c>
      <c r="G88" s="273" t="s">
        <v>343</v>
      </c>
      <c r="H88" s="274">
        <v>151842.13769830921</v>
      </c>
      <c r="I88" s="274">
        <v>217382.4121327936</v>
      </c>
      <c r="J88" s="274">
        <v>1408906.8800000001</v>
      </c>
      <c r="K88" s="274">
        <v>244864.50312986117</v>
      </c>
      <c r="L88" s="274">
        <v>137375.87190349371</v>
      </c>
      <c r="M88" s="274">
        <v>98412.509844285392</v>
      </c>
      <c r="N88" s="274">
        <v>317580.97213512898</v>
      </c>
      <c r="O88" s="274">
        <v>0</v>
      </c>
      <c r="P88" s="274">
        <v>1177</v>
      </c>
      <c r="Q88" s="274">
        <v>0</v>
      </c>
      <c r="R88" s="274">
        <v>0</v>
      </c>
      <c r="S88" s="274">
        <v>0</v>
      </c>
      <c r="T88" s="274">
        <v>0</v>
      </c>
      <c r="U88" s="274">
        <v>0</v>
      </c>
      <c r="V88" s="274">
        <v>0</v>
      </c>
      <c r="W88" s="274"/>
      <c r="X88" s="274"/>
      <c r="Y88" s="274"/>
      <c r="Z88" s="274"/>
      <c r="AA88" s="274">
        <v>42809.815000000002</v>
      </c>
      <c r="AB88" s="274">
        <v>4879425.0993840359</v>
      </c>
      <c r="AC88" s="274">
        <v>33716.787433600002</v>
      </c>
      <c r="AD88" s="274">
        <v>3936023.5699226591</v>
      </c>
      <c r="AE88" s="274">
        <v>0</v>
      </c>
      <c r="AF88" s="274">
        <v>0</v>
      </c>
      <c r="AG88" s="274">
        <v>0</v>
      </c>
      <c r="AH88" s="274">
        <v>0</v>
      </c>
      <c r="AI88" s="274">
        <v>0</v>
      </c>
      <c r="AJ88" s="274">
        <v>0</v>
      </c>
      <c r="AK88" s="274">
        <v>37537032.166000001</v>
      </c>
      <c r="AL88" s="274">
        <v>383339443.44000006</v>
      </c>
      <c r="AM88"/>
      <c r="AN88" s="262" t="str">
        <f t="shared" si="8"/>
        <v>C2b - C&amp;I Small Business2018</v>
      </c>
      <c r="AO88" s="9">
        <f t="shared" si="9"/>
        <v>2160371.8048644578</v>
      </c>
      <c r="AP88" s="10">
        <v>952960.5580848665</v>
      </c>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row>
    <row r="89" spans="1:87" s="275" customFormat="1" x14ac:dyDescent="0.2">
      <c r="A89" s="272" t="s">
        <v>294</v>
      </c>
      <c r="B89" s="272" t="s">
        <v>400</v>
      </c>
      <c r="C89" s="273">
        <v>2018</v>
      </c>
      <c r="D89" s="273" t="s">
        <v>401</v>
      </c>
      <c r="E89" s="273" t="s">
        <v>402</v>
      </c>
      <c r="F89" s="273" t="s">
        <v>408</v>
      </c>
      <c r="G89" s="273" t="s">
        <v>344</v>
      </c>
      <c r="H89" s="274">
        <v>207381.50434241569</v>
      </c>
      <c r="I89" s="274">
        <v>135987.92696543495</v>
      </c>
      <c r="J89" s="274">
        <v>2831641.34</v>
      </c>
      <c r="K89" s="274">
        <v>704909.85527358437</v>
      </c>
      <c r="L89" s="274">
        <v>265956.50683635467</v>
      </c>
      <c r="M89" s="274">
        <v>65933.72227818484</v>
      </c>
      <c r="N89" s="274">
        <v>256475.63731818198</v>
      </c>
      <c r="O89" s="274">
        <v>0</v>
      </c>
      <c r="P89" s="274">
        <v>1117</v>
      </c>
      <c r="Q89" s="274">
        <v>11.6341287893</v>
      </c>
      <c r="R89" s="274">
        <v>4.4531499999999999</v>
      </c>
      <c r="S89" s="274">
        <v>20.095150000000004</v>
      </c>
      <c r="T89" s="274">
        <v>264.59175000000005</v>
      </c>
      <c r="U89" s="274">
        <v>18.307649500000004</v>
      </c>
      <c r="V89" s="274">
        <v>246.63423750000004</v>
      </c>
      <c r="W89" s="274"/>
      <c r="X89" s="274"/>
      <c r="Y89" s="274"/>
      <c r="Z89" s="274"/>
      <c r="AA89" s="274">
        <v>30409.742789433738</v>
      </c>
      <c r="AB89" s="274">
        <v>4929976.9768953901</v>
      </c>
      <c r="AC89" s="274">
        <v>26939.459755999993</v>
      </c>
      <c r="AD89" s="274">
        <v>4369889.4371200008</v>
      </c>
      <c r="AE89" s="274">
        <v>0</v>
      </c>
      <c r="AF89" s="274">
        <v>0</v>
      </c>
      <c r="AG89" s="274">
        <v>0</v>
      </c>
      <c r="AH89" s="274">
        <v>0</v>
      </c>
      <c r="AI89" s="274">
        <v>0</v>
      </c>
      <c r="AJ89" s="274">
        <v>0</v>
      </c>
      <c r="AK89" s="274">
        <v>3038573.0840000003</v>
      </c>
      <c r="AL89" s="274">
        <v>21270011.588</v>
      </c>
      <c r="AM89"/>
      <c r="AN89" s="262" t="str">
        <f t="shared" si="8"/>
        <v>C2c - C&amp;I Multifamily Retrofit2018</v>
      </c>
      <c r="AO89" s="9">
        <f t="shared" si="9"/>
        <v>4145877.1334177894</v>
      </c>
      <c r="AP89" s="10">
        <v>761408.32379538135</v>
      </c>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row>
    <row r="90" spans="1:87" s="275" customFormat="1" x14ac:dyDescent="0.2">
      <c r="A90" s="272" t="s">
        <v>294</v>
      </c>
      <c r="B90" s="272" t="s">
        <v>400</v>
      </c>
      <c r="C90" s="273">
        <v>2018</v>
      </c>
      <c r="D90" s="273" t="s">
        <v>401</v>
      </c>
      <c r="E90" s="273" t="s">
        <v>402</v>
      </c>
      <c r="F90" s="273" t="s">
        <v>408</v>
      </c>
      <c r="G90" s="273" t="s">
        <v>345</v>
      </c>
      <c r="H90" s="274">
        <v>0</v>
      </c>
      <c r="I90" s="274">
        <v>0</v>
      </c>
      <c r="J90" s="274">
        <v>0</v>
      </c>
      <c r="K90" s="274">
        <v>0</v>
      </c>
      <c r="L90" s="274">
        <v>0</v>
      </c>
      <c r="M90" s="274">
        <v>0</v>
      </c>
      <c r="N90" s="274">
        <v>0</v>
      </c>
      <c r="O90" s="274">
        <v>0</v>
      </c>
      <c r="P90" s="274">
        <v>0</v>
      </c>
      <c r="Q90" s="274">
        <v>0</v>
      </c>
      <c r="R90" s="274">
        <v>0</v>
      </c>
      <c r="S90" s="274">
        <v>0</v>
      </c>
      <c r="T90" s="274">
        <v>0</v>
      </c>
      <c r="U90" s="274">
        <v>0</v>
      </c>
      <c r="V90" s="274">
        <v>0</v>
      </c>
      <c r="W90" s="274"/>
      <c r="X90" s="274"/>
      <c r="Y90" s="274"/>
      <c r="Z90" s="274"/>
      <c r="AA90" s="274">
        <v>0</v>
      </c>
      <c r="AB90" s="274">
        <v>0</v>
      </c>
      <c r="AC90" s="274">
        <v>0</v>
      </c>
      <c r="AD90" s="274">
        <v>0</v>
      </c>
      <c r="AE90" s="274">
        <v>0</v>
      </c>
      <c r="AF90" s="274">
        <v>0</v>
      </c>
      <c r="AG90" s="274">
        <v>0</v>
      </c>
      <c r="AH90" s="274">
        <v>0</v>
      </c>
      <c r="AI90" s="274">
        <v>0</v>
      </c>
      <c r="AJ90" s="274">
        <v>0</v>
      </c>
      <c r="AK90" s="274">
        <v>0</v>
      </c>
      <c r="AL90" s="274">
        <v>0</v>
      </c>
      <c r="AM90"/>
      <c r="AN90" s="262" t="str">
        <f t="shared" si="8"/>
        <v>C2d - C&amp;I Upstream Lighting2018</v>
      </c>
      <c r="AO90" s="9">
        <f t="shared" si="9"/>
        <v>0</v>
      </c>
      <c r="AP90" s="10">
        <v>0</v>
      </c>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row>
    <row r="91" spans="1:87" s="275" customFormat="1" x14ac:dyDescent="0.2">
      <c r="A91" s="272" t="s">
        <v>294</v>
      </c>
      <c r="B91" s="272" t="s">
        <v>400</v>
      </c>
      <c r="C91" s="273">
        <v>2018</v>
      </c>
      <c r="D91" s="273" t="s">
        <v>401</v>
      </c>
      <c r="E91" s="273" t="s">
        <v>402</v>
      </c>
      <c r="F91" s="273" t="s">
        <v>346</v>
      </c>
      <c r="G91" s="273" t="s">
        <v>347</v>
      </c>
      <c r="H91" s="274">
        <v>1899.597590371922</v>
      </c>
      <c r="I91" s="274">
        <v>352190.68000000005</v>
      </c>
      <c r="J91" s="274">
        <v>0</v>
      </c>
      <c r="K91" s="274">
        <v>0</v>
      </c>
      <c r="L91" s="274">
        <v>0</v>
      </c>
      <c r="M91" s="274">
        <v>0</v>
      </c>
      <c r="N91" s="274">
        <v>0</v>
      </c>
      <c r="O91" s="274">
        <v>0</v>
      </c>
      <c r="P91" s="274">
        <v>0</v>
      </c>
      <c r="Q91" s="274">
        <v>0</v>
      </c>
      <c r="R91" s="274">
        <v>0</v>
      </c>
      <c r="S91" s="274">
        <v>0</v>
      </c>
      <c r="T91" s="274">
        <v>0</v>
      </c>
      <c r="U91" s="274">
        <v>0</v>
      </c>
      <c r="V91" s="274">
        <v>0</v>
      </c>
      <c r="W91" s="274"/>
      <c r="X91" s="274"/>
      <c r="Y91" s="274"/>
      <c r="Z91" s="274"/>
      <c r="AA91" s="274">
        <v>0</v>
      </c>
      <c r="AB91" s="274">
        <v>0</v>
      </c>
      <c r="AC91" s="274">
        <v>0</v>
      </c>
      <c r="AD91" s="274">
        <v>0</v>
      </c>
      <c r="AE91" s="274">
        <v>0</v>
      </c>
      <c r="AF91" s="274">
        <v>0</v>
      </c>
      <c r="AG91" s="274">
        <v>0</v>
      </c>
      <c r="AH91" s="274">
        <v>0</v>
      </c>
      <c r="AI91" s="274">
        <v>0</v>
      </c>
      <c r="AJ91" s="274">
        <v>0</v>
      </c>
      <c r="AK91" s="274">
        <v>0</v>
      </c>
      <c r="AL91" s="274">
        <v>0</v>
      </c>
      <c r="AM91"/>
      <c r="AN91" s="262" t="str">
        <f t="shared" si="8"/>
        <v>C3a - C&amp;I Statewide Marketing2018</v>
      </c>
      <c r="AO91" s="9">
        <f t="shared" si="9"/>
        <v>354090.27759037196</v>
      </c>
      <c r="AP91" s="10">
        <v>0</v>
      </c>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row>
    <row r="92" spans="1:87" s="275" customFormat="1" x14ac:dyDescent="0.2">
      <c r="A92" s="272" t="s">
        <v>294</v>
      </c>
      <c r="B92" s="272" t="s">
        <v>400</v>
      </c>
      <c r="C92" s="273">
        <v>2018</v>
      </c>
      <c r="D92" s="273" t="s">
        <v>401</v>
      </c>
      <c r="E92" s="273" t="s">
        <v>402</v>
      </c>
      <c r="F92" s="273" t="s">
        <v>346</v>
      </c>
      <c r="G92" s="273" t="s">
        <v>348</v>
      </c>
      <c r="H92" s="274">
        <v>5176.3499999999995</v>
      </c>
      <c r="I92" s="274">
        <v>0</v>
      </c>
      <c r="J92" s="274">
        <v>0</v>
      </c>
      <c r="K92" s="274">
        <v>0</v>
      </c>
      <c r="L92" s="274">
        <v>0</v>
      </c>
      <c r="M92" s="274">
        <v>0</v>
      </c>
      <c r="N92" s="274">
        <v>0</v>
      </c>
      <c r="O92" s="274">
        <v>0</v>
      </c>
      <c r="P92" s="274">
        <v>0</v>
      </c>
      <c r="Q92" s="274">
        <v>0</v>
      </c>
      <c r="R92" s="274">
        <v>0</v>
      </c>
      <c r="S92" s="274">
        <v>0</v>
      </c>
      <c r="T92" s="274">
        <v>0</v>
      </c>
      <c r="U92" s="274">
        <v>0</v>
      </c>
      <c r="V92" s="274">
        <v>0</v>
      </c>
      <c r="W92" s="274"/>
      <c r="X92" s="274"/>
      <c r="Y92" s="274"/>
      <c r="Z92" s="274"/>
      <c r="AA92" s="274">
        <v>0</v>
      </c>
      <c r="AB92" s="274">
        <v>0</v>
      </c>
      <c r="AC92" s="274">
        <v>0</v>
      </c>
      <c r="AD92" s="274">
        <v>0</v>
      </c>
      <c r="AE92" s="274">
        <v>0</v>
      </c>
      <c r="AF92" s="274">
        <v>0</v>
      </c>
      <c r="AG92" s="274">
        <v>0</v>
      </c>
      <c r="AH92" s="274">
        <v>0</v>
      </c>
      <c r="AI92" s="274">
        <v>0</v>
      </c>
      <c r="AJ92" s="274">
        <v>0</v>
      </c>
      <c r="AK92" s="274">
        <v>0</v>
      </c>
      <c r="AL92" s="274">
        <v>0</v>
      </c>
      <c r="AM92"/>
      <c r="AN92" s="262" t="str">
        <f t="shared" si="8"/>
        <v>C3b - C&amp;I Statewide Database2018</v>
      </c>
      <c r="AO92" s="9">
        <f t="shared" si="9"/>
        <v>5176.3499999999995</v>
      </c>
      <c r="AP92" s="10">
        <v>0</v>
      </c>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row>
    <row r="93" spans="1:87" s="275" customFormat="1" x14ac:dyDescent="0.2">
      <c r="A93" s="272" t="s">
        <v>294</v>
      </c>
      <c r="B93" s="272" t="s">
        <v>400</v>
      </c>
      <c r="C93" s="273">
        <v>2018</v>
      </c>
      <c r="D93" s="273" t="s">
        <v>401</v>
      </c>
      <c r="E93" s="273" t="s">
        <v>402</v>
      </c>
      <c r="F93" s="273" t="s">
        <v>346</v>
      </c>
      <c r="G93" s="273" t="s">
        <v>349</v>
      </c>
      <c r="H93" s="274">
        <v>254802.80008269189</v>
      </c>
      <c r="I93" s="274">
        <v>0</v>
      </c>
      <c r="J93" s="274">
        <v>0</v>
      </c>
      <c r="K93" s="274">
        <v>0</v>
      </c>
      <c r="L93" s="274">
        <v>0</v>
      </c>
      <c r="M93" s="274">
        <v>0</v>
      </c>
      <c r="N93" s="274">
        <v>0</v>
      </c>
      <c r="O93" s="274">
        <v>0</v>
      </c>
      <c r="P93" s="274">
        <v>0</v>
      </c>
      <c r="Q93" s="274">
        <v>0</v>
      </c>
      <c r="R93" s="274">
        <v>0</v>
      </c>
      <c r="S93" s="274">
        <v>0</v>
      </c>
      <c r="T93" s="274">
        <v>0</v>
      </c>
      <c r="U93" s="274">
        <v>0</v>
      </c>
      <c r="V93" s="274">
        <v>0</v>
      </c>
      <c r="W93" s="274"/>
      <c r="X93" s="274"/>
      <c r="Y93" s="274"/>
      <c r="Z93" s="274"/>
      <c r="AA93" s="274">
        <v>0</v>
      </c>
      <c r="AB93" s="274">
        <v>0</v>
      </c>
      <c r="AC93" s="274">
        <v>0</v>
      </c>
      <c r="AD93" s="274">
        <v>0</v>
      </c>
      <c r="AE93" s="274">
        <v>0</v>
      </c>
      <c r="AF93" s="274">
        <v>0</v>
      </c>
      <c r="AG93" s="274">
        <v>0</v>
      </c>
      <c r="AH93" s="274">
        <v>0</v>
      </c>
      <c r="AI93" s="274">
        <v>0</v>
      </c>
      <c r="AJ93" s="274">
        <v>0</v>
      </c>
      <c r="AK93" s="274">
        <v>0</v>
      </c>
      <c r="AL93" s="274">
        <v>0</v>
      </c>
      <c r="AM93"/>
      <c r="AN93" s="262" t="str">
        <f t="shared" si="8"/>
        <v>C3c - C&amp;I DOER Assessment2018</v>
      </c>
      <c r="AO93" s="9">
        <f t="shared" si="9"/>
        <v>254802.80008269189</v>
      </c>
      <c r="AP93" s="10">
        <v>0</v>
      </c>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row>
    <row r="94" spans="1:87" s="275" customFormat="1" x14ac:dyDescent="0.2">
      <c r="A94" s="272" t="s">
        <v>294</v>
      </c>
      <c r="B94" s="272" t="s">
        <v>400</v>
      </c>
      <c r="C94" s="273">
        <v>2018</v>
      </c>
      <c r="D94" s="273" t="s">
        <v>401</v>
      </c>
      <c r="E94" s="273" t="s">
        <v>402</v>
      </c>
      <c r="F94" s="273" t="s">
        <v>346</v>
      </c>
      <c r="G94" s="273" t="s">
        <v>350</v>
      </c>
      <c r="H94" s="274">
        <v>81601.174143067255</v>
      </c>
      <c r="I94" s="274">
        <v>0</v>
      </c>
      <c r="J94" s="274">
        <v>0</v>
      </c>
      <c r="K94" s="274">
        <v>0</v>
      </c>
      <c r="L94" s="274">
        <v>0</v>
      </c>
      <c r="M94" s="274">
        <v>0</v>
      </c>
      <c r="N94" s="274">
        <v>0</v>
      </c>
      <c r="O94" s="274">
        <v>0</v>
      </c>
      <c r="P94" s="274">
        <v>0</v>
      </c>
      <c r="Q94" s="274">
        <v>0</v>
      </c>
      <c r="R94" s="274">
        <v>0</v>
      </c>
      <c r="S94" s="274">
        <v>0</v>
      </c>
      <c r="T94" s="274">
        <v>0</v>
      </c>
      <c r="U94" s="274">
        <v>0</v>
      </c>
      <c r="V94" s="274">
        <v>0</v>
      </c>
      <c r="W94" s="274"/>
      <c r="X94" s="274"/>
      <c r="Y94" s="274"/>
      <c r="Z94" s="274"/>
      <c r="AA94" s="274">
        <v>0</v>
      </c>
      <c r="AB94" s="274">
        <v>0</v>
      </c>
      <c r="AC94" s="274">
        <v>0</v>
      </c>
      <c r="AD94" s="274">
        <v>0</v>
      </c>
      <c r="AE94" s="274">
        <v>0</v>
      </c>
      <c r="AF94" s="274">
        <v>0</v>
      </c>
      <c r="AG94" s="274">
        <v>0</v>
      </c>
      <c r="AH94" s="274">
        <v>0</v>
      </c>
      <c r="AI94" s="274">
        <v>0</v>
      </c>
      <c r="AJ94" s="274">
        <v>0</v>
      </c>
      <c r="AK94" s="274">
        <v>0</v>
      </c>
      <c r="AL94" s="274">
        <v>0</v>
      </c>
      <c r="AM94"/>
      <c r="AN94" s="262" t="str">
        <f t="shared" si="8"/>
        <v>C3d - C&amp;I EEAC Consultants2018</v>
      </c>
      <c r="AO94" s="9">
        <f t="shared" si="9"/>
        <v>81601.174143067255</v>
      </c>
      <c r="AP94" s="10">
        <v>0</v>
      </c>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row>
    <row r="95" spans="1:87" s="275" customFormat="1" x14ac:dyDescent="0.2">
      <c r="A95" s="272" t="s">
        <v>294</v>
      </c>
      <c r="B95" s="272" t="s">
        <v>400</v>
      </c>
      <c r="C95" s="273">
        <v>2018</v>
      </c>
      <c r="D95" s="273" t="s">
        <v>401</v>
      </c>
      <c r="E95" s="273" t="s">
        <v>402</v>
      </c>
      <c r="F95" s="273" t="s">
        <v>346</v>
      </c>
      <c r="G95" s="273" t="s">
        <v>352</v>
      </c>
      <c r="H95" s="274">
        <v>31896.670000000002</v>
      </c>
      <c r="I95" s="274">
        <v>2052.12</v>
      </c>
      <c r="J95" s="274">
        <v>0</v>
      </c>
      <c r="K95" s="274">
        <v>12066.900000000001</v>
      </c>
      <c r="L95" s="274">
        <v>0</v>
      </c>
      <c r="M95" s="274">
        <v>0</v>
      </c>
      <c r="N95" s="274">
        <v>0</v>
      </c>
      <c r="O95" s="274">
        <v>0</v>
      </c>
      <c r="P95" s="274">
        <v>0</v>
      </c>
      <c r="Q95" s="274">
        <v>0</v>
      </c>
      <c r="R95" s="274">
        <v>0</v>
      </c>
      <c r="S95" s="274">
        <v>0</v>
      </c>
      <c r="T95" s="274">
        <v>0</v>
      </c>
      <c r="U95" s="274">
        <v>0</v>
      </c>
      <c r="V95" s="274">
        <v>0</v>
      </c>
      <c r="W95" s="274"/>
      <c r="X95" s="274"/>
      <c r="Y95" s="274"/>
      <c r="Z95" s="274"/>
      <c r="AA95" s="274">
        <v>0</v>
      </c>
      <c r="AB95" s="274">
        <v>0</v>
      </c>
      <c r="AC95" s="274">
        <v>0</v>
      </c>
      <c r="AD95" s="274">
        <v>0</v>
      </c>
      <c r="AE95" s="274">
        <v>0</v>
      </c>
      <c r="AF95" s="274">
        <v>0</v>
      </c>
      <c r="AG95" s="274">
        <v>0</v>
      </c>
      <c r="AH95" s="274">
        <v>0</v>
      </c>
      <c r="AI95" s="274">
        <v>0</v>
      </c>
      <c r="AJ95" s="274">
        <v>0</v>
      </c>
      <c r="AK95" s="274">
        <v>0</v>
      </c>
      <c r="AL95" s="274">
        <v>0</v>
      </c>
      <c r="AM95"/>
      <c r="AN95" s="262" t="str">
        <f t="shared" si="8"/>
        <v>C3e - C&amp;I Sponsorships &amp; Subscriptions2018</v>
      </c>
      <c r="AO95" s="9">
        <f t="shared" si="9"/>
        <v>46015.69</v>
      </c>
      <c r="AP95" s="10">
        <v>0</v>
      </c>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row>
    <row r="96" spans="1:87" s="275" customFormat="1" x14ac:dyDescent="0.2">
      <c r="A96" s="272" t="s">
        <v>294</v>
      </c>
      <c r="B96" s="272" t="s">
        <v>400</v>
      </c>
      <c r="C96" s="273">
        <v>2018</v>
      </c>
      <c r="D96" s="273" t="s">
        <v>401</v>
      </c>
      <c r="E96" s="273" t="s">
        <v>402</v>
      </c>
      <c r="F96" s="273" t="s">
        <v>346</v>
      </c>
      <c r="G96" s="273" t="s">
        <v>355</v>
      </c>
      <c r="H96" s="274">
        <v>0</v>
      </c>
      <c r="I96" s="274">
        <v>0</v>
      </c>
      <c r="J96" s="274">
        <v>0</v>
      </c>
      <c r="K96" s="274">
        <v>43036.98</v>
      </c>
      <c r="L96" s="274">
        <v>0</v>
      </c>
      <c r="M96" s="274">
        <v>0</v>
      </c>
      <c r="N96" s="274">
        <v>0</v>
      </c>
      <c r="O96" s="274">
        <v>0</v>
      </c>
      <c r="P96" s="274">
        <v>0</v>
      </c>
      <c r="Q96" s="274">
        <v>0</v>
      </c>
      <c r="R96" s="274">
        <v>0</v>
      </c>
      <c r="S96" s="274">
        <v>0</v>
      </c>
      <c r="T96" s="274">
        <v>0</v>
      </c>
      <c r="U96" s="274">
        <v>0</v>
      </c>
      <c r="V96" s="274">
        <v>0</v>
      </c>
      <c r="W96" s="274"/>
      <c r="X96" s="274"/>
      <c r="Y96" s="274"/>
      <c r="Z96" s="274"/>
      <c r="AA96" s="274">
        <v>0</v>
      </c>
      <c r="AB96" s="274">
        <v>0</v>
      </c>
      <c r="AC96" s="274">
        <v>0</v>
      </c>
      <c r="AD96" s="274">
        <v>0</v>
      </c>
      <c r="AE96" s="274">
        <v>0</v>
      </c>
      <c r="AF96" s="274">
        <v>0</v>
      </c>
      <c r="AG96" s="274">
        <v>0</v>
      </c>
      <c r="AH96" s="274">
        <v>0</v>
      </c>
      <c r="AI96" s="274">
        <v>0</v>
      </c>
      <c r="AJ96" s="274">
        <v>0</v>
      </c>
      <c r="AK96" s="274">
        <v>0</v>
      </c>
      <c r="AL96" s="274">
        <v>0</v>
      </c>
      <c r="AM96"/>
      <c r="AN96" s="262" t="str">
        <f t="shared" si="8"/>
        <v>C3f - C&amp;I Workforce Development2018</v>
      </c>
      <c r="AO96" s="9">
        <f t="shared" si="9"/>
        <v>43036.98</v>
      </c>
      <c r="AP96" s="10">
        <v>0</v>
      </c>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row>
    <row r="97" spans="1:87" s="275" customFormat="1" x14ac:dyDescent="0.2">
      <c r="A97" s="272" t="s">
        <v>294</v>
      </c>
      <c r="B97" s="272" t="s">
        <v>400</v>
      </c>
      <c r="C97" s="273">
        <v>2018</v>
      </c>
      <c r="D97" s="273" t="s">
        <v>401</v>
      </c>
      <c r="E97" s="273" t="s">
        <v>402</v>
      </c>
      <c r="F97" s="273" t="s">
        <v>346</v>
      </c>
      <c r="G97" s="273" t="s">
        <v>357</v>
      </c>
      <c r="H97" s="274">
        <v>0</v>
      </c>
      <c r="I97" s="274">
        <v>0</v>
      </c>
      <c r="J97" s="274">
        <v>0</v>
      </c>
      <c r="K97" s="274">
        <v>34018.67</v>
      </c>
      <c r="L97" s="274">
        <v>0</v>
      </c>
      <c r="M97" s="274">
        <v>0</v>
      </c>
      <c r="N97" s="274">
        <v>0</v>
      </c>
      <c r="O97" s="274">
        <v>0</v>
      </c>
      <c r="P97" s="274">
        <v>0</v>
      </c>
      <c r="Q97" s="274">
        <v>0</v>
      </c>
      <c r="R97" s="274">
        <v>0</v>
      </c>
      <c r="S97" s="274">
        <v>0</v>
      </c>
      <c r="T97" s="274">
        <v>0</v>
      </c>
      <c r="U97" s="274">
        <v>0</v>
      </c>
      <c r="V97" s="274">
        <v>0</v>
      </c>
      <c r="W97" s="274"/>
      <c r="X97" s="274"/>
      <c r="Y97" s="274"/>
      <c r="Z97" s="274"/>
      <c r="AA97" s="274">
        <v>0</v>
      </c>
      <c r="AB97" s="274">
        <v>0</v>
      </c>
      <c r="AC97" s="274">
        <v>0</v>
      </c>
      <c r="AD97" s="274">
        <v>0</v>
      </c>
      <c r="AE97" s="274">
        <v>0</v>
      </c>
      <c r="AF97" s="274">
        <v>0</v>
      </c>
      <c r="AG97" s="274">
        <v>0</v>
      </c>
      <c r="AH97" s="274">
        <v>0</v>
      </c>
      <c r="AI97" s="274">
        <v>0</v>
      </c>
      <c r="AJ97" s="274">
        <v>0</v>
      </c>
      <c r="AK97" s="274">
        <v>0</v>
      </c>
      <c r="AL97" s="274">
        <v>0</v>
      </c>
      <c r="AM97"/>
      <c r="AN97" s="262" t="str">
        <f t="shared" si="8"/>
        <v>C3g - C&amp;I R&amp;D and Demonstration2018</v>
      </c>
      <c r="AO97" s="9">
        <f t="shared" si="9"/>
        <v>34018.67</v>
      </c>
      <c r="AP97" s="10">
        <v>0</v>
      </c>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row>
  </sheetData>
  <dataValidations count="2">
    <dataValidation type="list" allowBlank="1" showInputMessage="1" showErrorMessage="1" sqref="B59:B97" xr:uid="{730293F3-A881-D144-823C-F5B15E041C65}">
      <formula1>"Berkshire, Cape Light Compact, CMA, Eversource, Liberty, National Grid, Statewide Electric, Statewide Gas, Unitil"</formula1>
    </dataValidation>
    <dataValidation type="list" allowBlank="1" showInputMessage="1" showErrorMessage="1" sqref="A59:A97" xr:uid="{5B66A871-1DD3-1E41-959B-8897B1C45B56}">
      <formula1>"Electric, Gas"</formula1>
    </dataValidation>
  </dataValidations>
  <hyperlinks>
    <hyperlink ref="B30" r:id="rId1" xr:uid="{36ABABD6-F54E-3E4D-B790-23362AE347E3}"/>
    <hyperlink ref="B31" r:id="rId2" xr:uid="{53A97EEE-2DD0-6741-ACEF-EEEABA7BBC92}"/>
    <hyperlink ref="B32" r:id="rId3" xr:uid="{35895563-3407-2545-B34C-264E09943DF3}"/>
    <hyperlink ref="U1" r:id="rId4" location=":~:text=Currency%20Menu&amp;text=This%20is%20the%20Canadian%20Dollar,rate%20in%202018%3A%200.7717%20USD." xr:uid="{9461934F-F369-6B42-B213-64451DB17FDE}"/>
  </hyperlinks>
  <pageMargins left="0.7" right="0.7" top="0.75" bottom="0.75" header="0.3" footer="0.3"/>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306EA-5DBE-7F4C-8532-588ED0866729}">
  <sheetPr>
    <tabColor theme="9"/>
  </sheetPr>
  <dimension ref="A1:D28"/>
  <sheetViews>
    <sheetView zoomScale="130" zoomScaleNormal="130" workbookViewId="0">
      <selection activeCell="D21" sqref="D20:D21"/>
    </sheetView>
  </sheetViews>
  <sheetFormatPr baseColWidth="10" defaultRowHeight="16" x14ac:dyDescent="0.2"/>
  <cols>
    <col min="1" max="1" width="15.1640625" customWidth="1"/>
    <col min="2" max="2" width="15.83203125" customWidth="1"/>
  </cols>
  <sheetData>
    <row r="1" spans="1:4" ht="21" x14ac:dyDescent="0.25">
      <c r="A1" s="29" t="s">
        <v>409</v>
      </c>
    </row>
    <row r="2" spans="1:4" x14ac:dyDescent="0.2">
      <c r="A2" s="32" t="s">
        <v>150</v>
      </c>
    </row>
    <row r="3" spans="1:4" x14ac:dyDescent="0.2">
      <c r="A3" s="1" t="s">
        <v>410</v>
      </c>
    </row>
    <row r="4" spans="1:4" x14ac:dyDescent="0.2">
      <c r="A4" s="278">
        <f>'MA - MassSave'!Y8</f>
        <v>3.2434404835761379</v>
      </c>
      <c r="B4" t="s">
        <v>411</v>
      </c>
    </row>
    <row r="5" spans="1:4" x14ac:dyDescent="0.2">
      <c r="A5" s="31"/>
    </row>
    <row r="6" spans="1:4" x14ac:dyDescent="0.2">
      <c r="A6" s="1" t="s">
        <v>412</v>
      </c>
    </row>
    <row r="7" spans="1:4" x14ac:dyDescent="0.2">
      <c r="A7" s="279">
        <f>'Potential Study'!H68/'EGI - Savings %'!F5-1</f>
        <v>1.0446811640394666</v>
      </c>
      <c r="B7" t="s">
        <v>124</v>
      </c>
    </row>
    <row r="8" spans="1:4" x14ac:dyDescent="0.2">
      <c r="A8" s="279">
        <f>GEC.7_Summary!G4</f>
        <v>0.76950552031731789</v>
      </c>
      <c r="B8" t="s">
        <v>414</v>
      </c>
    </row>
    <row r="9" spans="1:4" x14ac:dyDescent="0.2">
      <c r="A9" s="31"/>
    </row>
    <row r="10" spans="1:4" x14ac:dyDescent="0.2">
      <c r="A10" s="1" t="s">
        <v>421</v>
      </c>
    </row>
    <row r="11" spans="1:4" x14ac:dyDescent="0.2">
      <c r="A11" s="31">
        <f>'FULL Savings'!J17</f>
        <v>3542143.6025160011</v>
      </c>
      <c r="B11" t="s">
        <v>417</v>
      </c>
      <c r="D11" s="138"/>
    </row>
    <row r="12" spans="1:4" x14ac:dyDescent="0.2">
      <c r="A12" s="280">
        <f>'FULL Costs'!J17</f>
        <v>4765983</v>
      </c>
      <c r="B12" t="s">
        <v>416</v>
      </c>
      <c r="D12" s="138"/>
    </row>
    <row r="13" spans="1:4" x14ac:dyDescent="0.2">
      <c r="A13" s="31"/>
      <c r="D13" s="138"/>
    </row>
    <row r="14" spans="1:4" x14ac:dyDescent="0.2">
      <c r="A14" s="1" t="s">
        <v>418</v>
      </c>
      <c r="D14" s="138"/>
    </row>
    <row r="15" spans="1:4" x14ac:dyDescent="0.2">
      <c r="A15" s="281">
        <f>'FULL Savings'!J17*(1+A7)</f>
        <v>7242554.3043873673</v>
      </c>
      <c r="B15" t="s">
        <v>182</v>
      </c>
      <c r="D15" s="138"/>
    </row>
    <row r="16" spans="1:4" x14ac:dyDescent="0.2">
      <c r="A16" s="280">
        <f>A4*A15*A8</f>
        <v>18076295.53293677</v>
      </c>
      <c r="B16" t="s">
        <v>415</v>
      </c>
      <c r="D16" s="138"/>
    </row>
    <row r="17" spans="1:4" x14ac:dyDescent="0.2">
      <c r="D17" s="138"/>
    </row>
    <row r="18" spans="1:4" x14ac:dyDescent="0.2">
      <c r="A18" s="1" t="s">
        <v>423</v>
      </c>
      <c r="D18" s="138"/>
    </row>
    <row r="19" spans="1:4" x14ac:dyDescent="0.2">
      <c r="A19" s="34" t="s">
        <v>422</v>
      </c>
      <c r="B19" s="34" t="s">
        <v>55</v>
      </c>
      <c r="D19" s="138"/>
    </row>
    <row r="20" spans="1:4" x14ac:dyDescent="0.2">
      <c r="A20" s="9">
        <f>A15-A11</f>
        <v>3700410.7018713662</v>
      </c>
      <c r="B20" s="3">
        <f>A20/A11</f>
        <v>1.0446811640394666</v>
      </c>
      <c r="C20" t="s">
        <v>424</v>
      </c>
      <c r="D20" s="138"/>
    </row>
    <row r="21" spans="1:4" x14ac:dyDescent="0.2">
      <c r="A21" s="282">
        <f>A16-A12</f>
        <v>13310312.53293677</v>
      </c>
      <c r="B21" s="277">
        <f>A21/A12</f>
        <v>2.7927738166369394</v>
      </c>
      <c r="C21" s="138" t="s">
        <v>419</v>
      </c>
      <c r="D21" s="138"/>
    </row>
    <row r="22" spans="1:4" x14ac:dyDescent="0.2">
      <c r="D22" s="138"/>
    </row>
    <row r="23" spans="1:4" x14ac:dyDescent="0.2">
      <c r="A23" s="280">
        <f>'FULL Costs'!J14</f>
        <v>25262774.996288802</v>
      </c>
      <c r="B23" s="277">
        <f>A21/A23</f>
        <v>0.52687452328147266</v>
      </c>
      <c r="C23" s="138" t="s">
        <v>425</v>
      </c>
      <c r="D23" s="138"/>
    </row>
    <row r="24" spans="1:4" x14ac:dyDescent="0.2">
      <c r="A24" s="280">
        <f>'FULL Costs'!J64</f>
        <v>142259999.98898286</v>
      </c>
      <c r="B24" s="277">
        <f>A21/A24</f>
        <v>9.3563282257609806E-2</v>
      </c>
      <c r="C24" s="138" t="s">
        <v>426</v>
      </c>
      <c r="D24" s="138"/>
    </row>
    <row r="25" spans="1:4" x14ac:dyDescent="0.2">
      <c r="A25" s="283"/>
      <c r="B25" s="138"/>
      <c r="C25" s="138"/>
      <c r="D25" s="138"/>
    </row>
    <row r="26" spans="1:4" x14ac:dyDescent="0.2">
      <c r="A26" s="283"/>
      <c r="B26" s="138"/>
      <c r="C26" s="138"/>
      <c r="D26" s="138"/>
    </row>
    <row r="27" spans="1:4" x14ac:dyDescent="0.2">
      <c r="A27" s="283"/>
      <c r="B27" s="138"/>
      <c r="C27" s="138"/>
      <c r="D27" s="138"/>
    </row>
    <row r="28" spans="1:4" x14ac:dyDescent="0.2">
      <c r="A28"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94E5E-DA78-6E43-A044-C588BCB2B791}">
  <sheetPr>
    <tabColor theme="0" tint="-0.249977111117893"/>
  </sheetPr>
  <dimension ref="A2:I34"/>
  <sheetViews>
    <sheetView zoomScale="150" zoomScaleNormal="150" workbookViewId="0">
      <selection activeCell="F5" sqref="F5"/>
    </sheetView>
  </sheetViews>
  <sheetFormatPr baseColWidth="10" defaultRowHeight="16" x14ac:dyDescent="0.2"/>
  <cols>
    <col min="1" max="1" width="17.1640625" bestFit="1" customWidth="1"/>
    <col min="2" max="2" width="14.1640625" customWidth="1"/>
    <col min="3" max="3" width="30" bestFit="1" customWidth="1"/>
    <col min="4" max="4" width="14.1640625" customWidth="1"/>
    <col min="5" max="5" width="20.6640625" customWidth="1"/>
    <col min="6" max="6" width="11.1640625" bestFit="1" customWidth="1"/>
  </cols>
  <sheetData>
    <row r="2" spans="1:9" x14ac:dyDescent="0.2">
      <c r="D2">
        <v>2023</v>
      </c>
    </row>
    <row r="3" spans="1:9" ht="45" x14ac:dyDescent="0.2">
      <c r="A3" s="167" t="s">
        <v>300</v>
      </c>
      <c r="B3" s="168" t="s">
        <v>18</v>
      </c>
      <c r="C3" s="168" t="s">
        <v>301</v>
      </c>
      <c r="D3" s="169" t="s">
        <v>12</v>
      </c>
      <c r="E3" s="169" t="str">
        <f>'EGI - Rate Class Volumes'!A5</f>
        <v>EGI Forecast Volumes by Rate Classes (103 m3)</v>
      </c>
      <c r="F3" t="s">
        <v>302</v>
      </c>
      <c r="I3" t="s">
        <v>303</v>
      </c>
    </row>
    <row r="4" spans="1:9" x14ac:dyDescent="0.2">
      <c r="A4" s="170" t="s">
        <v>29</v>
      </c>
      <c r="B4" s="171" t="s">
        <v>19</v>
      </c>
      <c r="C4" s="171" t="str">
        <f t="shared" ref="C4:C34" si="0">A4&amp;"_"&amp;B4</f>
        <v>EGD_Rate 1</v>
      </c>
      <c r="D4" s="172">
        <f>'EGI - Rate Class Sav &amp; Part'!AC4</f>
        <v>10239235.513450703</v>
      </c>
      <c r="E4" s="172">
        <f>VLOOKUP(C4,'EGI - Rate Class Volumes'!$C$9:$E$42,3,0)</f>
        <v>5129330.7888860116</v>
      </c>
      <c r="F4" s="13">
        <f>IFERROR(D4/(E4*1000),"")</f>
        <v>1.9962127487735026E-3</v>
      </c>
    </row>
    <row r="5" spans="1:9" x14ac:dyDescent="0.2">
      <c r="A5" s="170" t="s">
        <v>29</v>
      </c>
      <c r="B5" s="171" t="s">
        <v>20</v>
      </c>
      <c r="C5" s="171" t="str">
        <f t="shared" si="0"/>
        <v>EGD_Rate 6</v>
      </c>
      <c r="D5" s="172">
        <f>'EGI - Rate Class Sav &amp; Part'!AC5</f>
        <v>25637113.620025955</v>
      </c>
      <c r="E5" s="172">
        <f>VLOOKUP(C5,'EGI - Rate Class Volumes'!$C$9:$E$42,3,0)</f>
        <v>4765429.3926551584</v>
      </c>
      <c r="F5" s="173">
        <f t="shared" ref="F5:F34" si="1">IFERROR(D5/(E5*1000),"")</f>
        <v>5.3798118716310902E-3</v>
      </c>
      <c r="I5" t="s">
        <v>304</v>
      </c>
    </row>
    <row r="6" spans="1:9" x14ac:dyDescent="0.2">
      <c r="A6" s="170" t="s">
        <v>29</v>
      </c>
      <c r="B6" s="171" t="s">
        <v>21</v>
      </c>
      <c r="C6" s="171" t="str">
        <f t="shared" si="0"/>
        <v>EGD_Rate 9</v>
      </c>
      <c r="D6" s="172">
        <f>'EGI - Rate Class Sav &amp; Part'!AC6</f>
        <v>0</v>
      </c>
      <c r="E6" s="172">
        <f>VLOOKUP(C6,'EGI - Rate Class Volumes'!$C$9:$E$42,3,0)</f>
        <v>0</v>
      </c>
      <c r="F6" s="13" t="str">
        <f t="shared" si="1"/>
        <v/>
      </c>
    </row>
    <row r="7" spans="1:9" x14ac:dyDescent="0.2">
      <c r="A7" s="170" t="s">
        <v>29</v>
      </c>
      <c r="B7" s="171" t="s">
        <v>22</v>
      </c>
      <c r="C7" s="171" t="str">
        <f t="shared" si="0"/>
        <v>EGD_Rate 100</v>
      </c>
      <c r="D7" s="172">
        <f>'EGI - Rate Class Sav &amp; Part'!AC7</f>
        <v>655763.21118203481</v>
      </c>
      <c r="E7" s="172">
        <f>VLOOKUP(C7,'EGI - Rate Class Volumes'!$C$9:$E$42,3,0)</f>
        <v>30330.572798000001</v>
      </c>
      <c r="F7" s="13">
        <f t="shared" si="1"/>
        <v>2.1620535014270349E-2</v>
      </c>
    </row>
    <row r="8" spans="1:9" x14ac:dyDescent="0.2">
      <c r="A8" s="170" t="s">
        <v>29</v>
      </c>
      <c r="B8" s="171" t="s">
        <v>23</v>
      </c>
      <c r="C8" s="171" t="str">
        <f t="shared" si="0"/>
        <v>EGD_Rate 110</v>
      </c>
      <c r="D8" s="172">
        <f>'EGI - Rate Class Sav &amp; Part'!AC8</f>
        <v>6042036.8358882759</v>
      </c>
      <c r="E8" s="172">
        <f>VLOOKUP(C8,'EGI - Rate Class Volumes'!$C$9:$E$42,3,0)</f>
        <v>1142179.4562964002</v>
      </c>
      <c r="F8" s="13">
        <f t="shared" si="1"/>
        <v>5.2899190250541009E-3</v>
      </c>
    </row>
    <row r="9" spans="1:9" x14ac:dyDescent="0.2">
      <c r="A9" s="170" t="s">
        <v>29</v>
      </c>
      <c r="B9" s="171" t="s">
        <v>24</v>
      </c>
      <c r="C9" s="171" t="str">
        <f t="shared" si="0"/>
        <v>EGD_Rate 115</v>
      </c>
      <c r="D9" s="172">
        <f>'EGI - Rate Class Sav &amp; Part'!AC9</f>
        <v>4132212.3654388976</v>
      </c>
      <c r="E9" s="172">
        <f>VLOOKUP(C9,'EGI - Rate Class Volumes'!$C$9:$E$42,3,0)</f>
        <v>368967.19897799997</v>
      </c>
      <c r="F9" s="13">
        <f t="shared" si="1"/>
        <v>1.1199403027924128E-2</v>
      </c>
    </row>
    <row r="10" spans="1:9" x14ac:dyDescent="0.2">
      <c r="A10" s="170" t="s">
        <v>29</v>
      </c>
      <c r="B10" s="171" t="s">
        <v>36</v>
      </c>
      <c r="C10" s="171" t="str">
        <f t="shared" si="0"/>
        <v>EGD_Rate 125</v>
      </c>
      <c r="D10" s="172">
        <f>'EGI - Rate Class Sav &amp; Part'!AC10</f>
        <v>0</v>
      </c>
      <c r="E10" s="172">
        <f>VLOOKUP(C10,'EGI - Rate Class Volumes'!$C$9:$E$42,3,0)</f>
        <v>558825.73199999996</v>
      </c>
      <c r="F10" s="13">
        <f t="shared" si="1"/>
        <v>0</v>
      </c>
    </row>
    <row r="11" spans="1:9" x14ac:dyDescent="0.2">
      <c r="A11" s="170" t="s">
        <v>29</v>
      </c>
      <c r="B11" s="171" t="s">
        <v>25</v>
      </c>
      <c r="C11" s="171" t="str">
        <f t="shared" si="0"/>
        <v>EGD_Rate 135</v>
      </c>
      <c r="D11" s="172">
        <f>'EGI - Rate Class Sav &amp; Part'!AC11</f>
        <v>2816252.3174046446</v>
      </c>
      <c r="E11" s="172">
        <f>VLOOKUP(C11,'EGI - Rate Class Volumes'!$C$9:$E$42,3,0)</f>
        <v>58035.665368299997</v>
      </c>
      <c r="F11" s="13">
        <f t="shared" si="1"/>
        <v>4.8526234678838133E-2</v>
      </c>
    </row>
    <row r="12" spans="1:9" x14ac:dyDescent="0.2">
      <c r="A12" s="170" t="s">
        <v>29</v>
      </c>
      <c r="B12" s="171" t="s">
        <v>26</v>
      </c>
      <c r="C12" s="171" t="str">
        <f t="shared" si="0"/>
        <v>EGD_Rate 145</v>
      </c>
      <c r="D12" s="172">
        <f>'EGI - Rate Class Sav &amp; Part'!AC12</f>
        <v>9251.2786237259752</v>
      </c>
      <c r="E12" s="172">
        <f>VLOOKUP(C12,'EGI - Rate Class Volumes'!$C$9:$E$42,3,0)</f>
        <v>25939.458682955137</v>
      </c>
      <c r="F12" s="13">
        <f t="shared" si="1"/>
        <v>3.5664886984727271E-4</v>
      </c>
    </row>
    <row r="13" spans="1:9" x14ac:dyDescent="0.2">
      <c r="A13" s="170" t="s">
        <v>29</v>
      </c>
      <c r="B13" s="171" t="s">
        <v>27</v>
      </c>
      <c r="C13" s="171" t="str">
        <f t="shared" si="0"/>
        <v>EGD_Rate 170</v>
      </c>
      <c r="D13" s="172">
        <f>'EGI - Rate Class Sav &amp; Part'!AC13</f>
        <v>995045.56988455018</v>
      </c>
      <c r="E13" s="172">
        <f>VLOOKUP(C13,'EGI - Rate Class Volumes'!$C$9:$E$42,3,0)</f>
        <v>253114.21786044486</v>
      </c>
      <c r="F13" s="13">
        <f t="shared" si="1"/>
        <v>3.9312116810173462E-3</v>
      </c>
    </row>
    <row r="14" spans="1:9" x14ac:dyDescent="0.2">
      <c r="A14" s="170" t="s">
        <v>29</v>
      </c>
      <c r="B14" s="171" t="s">
        <v>37</v>
      </c>
      <c r="C14" s="171" t="str">
        <f t="shared" si="0"/>
        <v>EGD_Rate 200</v>
      </c>
      <c r="D14" s="172">
        <f>'EGI - Rate Class Sav &amp; Part'!AC14</f>
        <v>0</v>
      </c>
      <c r="E14" s="172">
        <f>VLOOKUP(C14,'EGI - Rate Class Volumes'!$C$9:$E$42,3,0)</f>
        <v>188317.3</v>
      </c>
      <c r="F14" s="13">
        <f t="shared" si="1"/>
        <v>0</v>
      </c>
    </row>
    <row r="15" spans="1:9" x14ac:dyDescent="0.2">
      <c r="A15" s="170" t="s">
        <v>29</v>
      </c>
      <c r="B15" s="171" t="s">
        <v>38</v>
      </c>
      <c r="C15" s="171" t="str">
        <f t="shared" si="0"/>
        <v>EGD_Rate 300</v>
      </c>
      <c r="D15" s="172">
        <f>'EGI - Rate Class Sav &amp; Part'!AC15</f>
        <v>0</v>
      </c>
      <c r="E15" s="172">
        <f>VLOOKUP(C15,'EGI - Rate Class Volumes'!$C$9:$E$42,3,0)</f>
        <v>122.5</v>
      </c>
      <c r="F15" s="13">
        <f t="shared" si="1"/>
        <v>0</v>
      </c>
    </row>
    <row r="16" spans="1:9" x14ac:dyDescent="0.2">
      <c r="A16" s="174" t="s">
        <v>305</v>
      </c>
      <c r="B16" s="175"/>
      <c r="C16" s="175" t="str">
        <f t="shared" si="0"/>
        <v>Subtotal - EGD Rate Zone_</v>
      </c>
      <c r="D16" s="176">
        <f>'EGI - Rate Class Sav &amp; Part'!AC16</f>
        <v>50526910.711898789</v>
      </c>
      <c r="E16" s="176">
        <f>SUM(E4:E15)</f>
        <v>12520592.283525273</v>
      </c>
      <c r="F16" s="13">
        <f t="shared" si="1"/>
        <v>4.0355048361715787E-3</v>
      </c>
    </row>
    <row r="17" spans="1:9" x14ac:dyDescent="0.2">
      <c r="A17" s="177" t="s">
        <v>30</v>
      </c>
      <c r="B17" s="178" t="s">
        <v>31</v>
      </c>
      <c r="C17" s="178" t="str">
        <f t="shared" si="0"/>
        <v>Union South_M1</v>
      </c>
      <c r="D17" s="179">
        <f>'EGI - Rate Class Sav &amp; Part'!AC17</f>
        <v>8245274.498843682</v>
      </c>
      <c r="E17" s="179">
        <f>VLOOKUP(C17,'EGI - Rate Class Volumes'!$C$9:$E$42,3,0)</f>
        <v>3144085.7008852442</v>
      </c>
      <c r="F17" s="13">
        <f t="shared" si="1"/>
        <v>2.6224712947621478E-3</v>
      </c>
      <c r="I17" t="s">
        <v>304</v>
      </c>
    </row>
    <row r="18" spans="1:9" x14ac:dyDescent="0.2">
      <c r="A18" s="170" t="s">
        <v>30</v>
      </c>
      <c r="B18" s="171" t="s">
        <v>32</v>
      </c>
      <c r="C18" s="171" t="str">
        <f t="shared" si="0"/>
        <v>Union South_M2</v>
      </c>
      <c r="D18" s="172">
        <f>'EGI - Rate Class Sav &amp; Part'!AC18</f>
        <v>7291043.652536789</v>
      </c>
      <c r="E18" s="172">
        <f>VLOOKUP(C18,'EGI - Rate Class Volumes'!$C$9:$E$42,3,0)</f>
        <v>1291379.3906499986</v>
      </c>
      <c r="F18" s="13">
        <f t="shared" si="1"/>
        <v>5.6459346535389096E-3</v>
      </c>
    </row>
    <row r="19" spans="1:9" x14ac:dyDescent="0.2">
      <c r="A19" s="170" t="s">
        <v>30</v>
      </c>
      <c r="B19" s="171" t="s">
        <v>306</v>
      </c>
      <c r="C19" s="171" t="str">
        <f t="shared" si="0"/>
        <v>Union South_M4</v>
      </c>
      <c r="D19" s="172">
        <f>'EGI - Rate Class Sav &amp; Part'!AC19</f>
        <v>9893419.5729791429</v>
      </c>
      <c r="E19" s="172" t="e">
        <f>VLOOKUP(C19,'EGI - Rate Class Volumes'!$C$9:$E$42,3,0)</f>
        <v>#N/A</v>
      </c>
      <c r="F19" s="13" t="str">
        <f t="shared" si="1"/>
        <v/>
      </c>
    </row>
    <row r="20" spans="1:9" x14ac:dyDescent="0.2">
      <c r="A20" s="170" t="s">
        <v>30</v>
      </c>
      <c r="B20" s="171" t="s">
        <v>307</v>
      </c>
      <c r="C20" s="171" t="str">
        <f t="shared" si="0"/>
        <v>Union South_M5</v>
      </c>
      <c r="D20" s="172">
        <f>'EGI - Rate Class Sav &amp; Part'!AC20</f>
        <v>522150.28966723033</v>
      </c>
      <c r="E20" s="172" t="e">
        <f>VLOOKUP(C20,'EGI - Rate Class Volumes'!$C$9:$E$42,3,0)</f>
        <v>#N/A</v>
      </c>
      <c r="F20" s="13" t="str">
        <f t="shared" si="1"/>
        <v/>
      </c>
    </row>
    <row r="21" spans="1:9" x14ac:dyDescent="0.2">
      <c r="A21" s="170" t="s">
        <v>30</v>
      </c>
      <c r="B21" s="171" t="s">
        <v>308</v>
      </c>
      <c r="C21" s="171" t="str">
        <f t="shared" si="0"/>
        <v>Union South_M7</v>
      </c>
      <c r="D21" s="172">
        <f>'EGI - Rate Class Sav &amp; Part'!AC21</f>
        <v>10204899.298101159</v>
      </c>
      <c r="E21" s="172" t="e">
        <f>VLOOKUP(C21,'EGI - Rate Class Volumes'!$C$9:$E$42,3,0)</f>
        <v>#N/A</v>
      </c>
      <c r="F21" s="13" t="str">
        <f t="shared" si="1"/>
        <v/>
      </c>
    </row>
    <row r="22" spans="1:9" x14ac:dyDescent="0.2">
      <c r="A22" s="170" t="s">
        <v>30</v>
      </c>
      <c r="B22" s="171" t="s">
        <v>309</v>
      </c>
      <c r="C22" s="171" t="str">
        <f t="shared" si="0"/>
        <v>Union South_M9</v>
      </c>
      <c r="D22" s="172">
        <f>'EGI - Rate Class Sav &amp; Part'!AC22</f>
        <v>0</v>
      </c>
      <c r="E22" s="172" t="e">
        <f>VLOOKUP(C22,'EGI - Rate Class Volumes'!$C$9:$E$42,3,0)</f>
        <v>#N/A</v>
      </c>
      <c r="F22" s="13" t="str">
        <f t="shared" si="1"/>
        <v/>
      </c>
    </row>
    <row r="23" spans="1:9" x14ac:dyDescent="0.2">
      <c r="A23" s="170" t="s">
        <v>30</v>
      </c>
      <c r="B23" s="171" t="s">
        <v>310</v>
      </c>
      <c r="C23" s="171" t="str">
        <f t="shared" si="0"/>
        <v>Union South_M10</v>
      </c>
      <c r="D23" s="172">
        <f>'EGI - Rate Class Sav &amp; Part'!AC23</f>
        <v>0</v>
      </c>
      <c r="E23" s="172" t="e">
        <f>VLOOKUP(C23,'EGI - Rate Class Volumes'!$C$9:$E$42,3,0)</f>
        <v>#N/A</v>
      </c>
      <c r="F23" s="13" t="str">
        <f t="shared" si="1"/>
        <v/>
      </c>
    </row>
    <row r="24" spans="1:9" x14ac:dyDescent="0.2">
      <c r="A24" s="170" t="s">
        <v>30</v>
      </c>
      <c r="B24" s="171" t="s">
        <v>311</v>
      </c>
      <c r="C24" s="171" t="str">
        <f t="shared" si="0"/>
        <v>Union South_T1</v>
      </c>
      <c r="D24" s="172">
        <f>'EGI - Rate Class Sav &amp; Part'!AC24</f>
        <v>2256451.6622180329</v>
      </c>
      <c r="E24" s="172" t="e">
        <f>VLOOKUP(C24,'EGI - Rate Class Volumes'!$C$9:$E$42,3,0)</f>
        <v>#N/A</v>
      </c>
      <c r="F24" s="13" t="str">
        <f t="shared" si="1"/>
        <v/>
      </c>
    </row>
    <row r="25" spans="1:9" x14ac:dyDescent="0.2">
      <c r="A25" s="170" t="s">
        <v>30</v>
      </c>
      <c r="B25" s="171" t="s">
        <v>312</v>
      </c>
      <c r="C25" s="171" t="str">
        <f t="shared" si="0"/>
        <v>Union South_T2</v>
      </c>
      <c r="D25" s="172">
        <f>'EGI - Rate Class Sav &amp; Part'!AC25</f>
        <v>6989243.7763206046</v>
      </c>
      <c r="E25" s="172" t="e">
        <f>VLOOKUP(C25,'EGI - Rate Class Volumes'!$C$9:$E$42,3,0)</f>
        <v>#N/A</v>
      </c>
      <c r="F25" s="13" t="str">
        <f t="shared" si="1"/>
        <v/>
      </c>
    </row>
    <row r="26" spans="1:9" x14ac:dyDescent="0.2">
      <c r="A26" s="170" t="s">
        <v>30</v>
      </c>
      <c r="B26" s="171" t="s">
        <v>313</v>
      </c>
      <c r="C26" s="171" t="str">
        <f t="shared" si="0"/>
        <v>Union South_T3</v>
      </c>
      <c r="D26" s="172">
        <f>'EGI - Rate Class Sav &amp; Part'!AC26</f>
        <v>0</v>
      </c>
      <c r="E26" s="172" t="e">
        <f>VLOOKUP(C26,'EGI - Rate Class Volumes'!$C$9:$E$42,3,0)</f>
        <v>#N/A</v>
      </c>
      <c r="F26" s="13" t="str">
        <f t="shared" si="1"/>
        <v/>
      </c>
    </row>
    <row r="27" spans="1:9" x14ac:dyDescent="0.2">
      <c r="A27" s="174" t="s">
        <v>314</v>
      </c>
      <c r="B27" s="175"/>
      <c r="C27" s="175" t="str">
        <f t="shared" si="0"/>
        <v>Subtotal - Union South Rate Zone_</v>
      </c>
      <c r="D27" s="176">
        <f>'EGI - Rate Class Sav &amp; Part'!AC27</f>
        <v>45402482.750666648</v>
      </c>
      <c r="E27" s="176" t="e">
        <f>VLOOKUP(C27,'EGI - Rate Class Volumes'!$C$9:$E$42,3,0)</f>
        <v>#N/A</v>
      </c>
      <c r="F27" s="13" t="str">
        <f t="shared" si="1"/>
        <v/>
      </c>
    </row>
    <row r="28" spans="1:9" x14ac:dyDescent="0.2">
      <c r="A28" s="170" t="s">
        <v>33</v>
      </c>
      <c r="B28" s="171" t="s">
        <v>34</v>
      </c>
      <c r="C28" s="171" t="str">
        <f t="shared" si="0"/>
        <v>Union North_R01</v>
      </c>
      <c r="D28" s="172">
        <f>'EGI - Rate Class Sav &amp; Part'!AC28</f>
        <v>1832551.6585736587</v>
      </c>
      <c r="E28" s="172">
        <f>VLOOKUP(C28,'EGI - Rate Class Volumes'!$C$9:$E$42,3,0)</f>
        <v>1029177.2418449726</v>
      </c>
      <c r="F28" s="13">
        <f t="shared" si="1"/>
        <v>1.7805986996841309E-3</v>
      </c>
      <c r="I28" t="s">
        <v>304</v>
      </c>
    </row>
    <row r="29" spans="1:9" x14ac:dyDescent="0.2">
      <c r="A29" s="170" t="s">
        <v>33</v>
      </c>
      <c r="B29" s="171" t="s">
        <v>35</v>
      </c>
      <c r="C29" s="171" t="str">
        <f t="shared" si="0"/>
        <v>Union North_R10</v>
      </c>
      <c r="D29" s="172">
        <f>'EGI - Rate Class Sav &amp; Part'!AC29</f>
        <v>814749.41870154021</v>
      </c>
      <c r="E29" s="172">
        <f>VLOOKUP(C29,'EGI - Rate Class Volumes'!$C$9:$E$42,3,0)</f>
        <v>367990.49201250984</v>
      </c>
      <c r="F29" s="13">
        <f t="shared" si="1"/>
        <v>2.2140501898452389E-3</v>
      </c>
    </row>
    <row r="30" spans="1:9" x14ac:dyDescent="0.2">
      <c r="A30" s="170" t="s">
        <v>33</v>
      </c>
      <c r="B30" s="171" t="s">
        <v>315</v>
      </c>
      <c r="C30" s="171" t="str">
        <f t="shared" si="0"/>
        <v>Union North_R20</v>
      </c>
      <c r="D30" s="172">
        <f>'EGI - Rate Class Sav &amp; Part'!AC30</f>
        <v>5790463.7877279613</v>
      </c>
      <c r="E30" s="172" t="e">
        <f>VLOOKUP(C30,'EGI - Rate Class Volumes'!$C$9:$E$42,3,0)</f>
        <v>#N/A</v>
      </c>
      <c r="F30" s="13" t="str">
        <f t="shared" si="1"/>
        <v/>
      </c>
    </row>
    <row r="31" spans="1:9" x14ac:dyDescent="0.2">
      <c r="A31" s="170" t="s">
        <v>33</v>
      </c>
      <c r="B31" s="171" t="s">
        <v>316</v>
      </c>
      <c r="C31" s="171" t="str">
        <f t="shared" si="0"/>
        <v>Union North_R25</v>
      </c>
      <c r="D31" s="172">
        <f>'EGI - Rate Class Sav &amp; Part'!AC31</f>
        <v>0</v>
      </c>
      <c r="E31" s="172" t="e">
        <f>VLOOKUP(C31,'EGI - Rate Class Volumes'!$C$9:$E$42,3,0)</f>
        <v>#N/A</v>
      </c>
      <c r="F31" s="13" t="str">
        <f t="shared" si="1"/>
        <v/>
      </c>
    </row>
    <row r="32" spans="1:9" x14ac:dyDescent="0.2">
      <c r="A32" s="170" t="s">
        <v>33</v>
      </c>
      <c r="B32" s="180" t="s">
        <v>317</v>
      </c>
      <c r="C32" s="180" t="str">
        <f t="shared" si="0"/>
        <v>Union North_R100</v>
      </c>
      <c r="D32" s="181">
        <f>'EGI - Rate Class Sav &amp; Part'!AC32</f>
        <v>2310755.8921993966</v>
      </c>
      <c r="E32" s="181" t="e">
        <f>VLOOKUP(C32,'EGI - Rate Class Volumes'!$C$9:$E$42,3,0)</f>
        <v>#N/A</v>
      </c>
      <c r="F32" s="13" t="str">
        <f t="shared" si="1"/>
        <v/>
      </c>
    </row>
    <row r="33" spans="1:6" ht="17" thickBot="1" x14ac:dyDescent="0.25">
      <c r="A33" s="182" t="s">
        <v>318</v>
      </c>
      <c r="B33" s="183"/>
      <c r="C33" s="183" t="str">
        <f t="shared" si="0"/>
        <v>Subtotal - Union North Rate Zone_</v>
      </c>
      <c r="D33" s="184">
        <f>'EGI - Rate Class Sav &amp; Part'!AC33</f>
        <v>10748520.757202558</v>
      </c>
      <c r="E33" s="184" t="e">
        <f>VLOOKUP(C33,'EGI - Rate Class Volumes'!$C$9:$E$42,3,0)</f>
        <v>#N/A</v>
      </c>
      <c r="F33" s="13" t="str">
        <f t="shared" si="1"/>
        <v/>
      </c>
    </row>
    <row r="34" spans="1:6" ht="18" thickTop="1" thickBot="1" x14ac:dyDescent="0.25">
      <c r="A34" s="185" t="s">
        <v>9</v>
      </c>
      <c r="B34" s="186"/>
      <c r="C34" s="186" t="str">
        <f t="shared" si="0"/>
        <v>Total_</v>
      </c>
      <c r="D34" s="187">
        <f>'EGI - Rate Class Sav &amp; Part'!AC34</f>
        <v>106677914.21976799</v>
      </c>
      <c r="E34" s="187" t="e">
        <f>VLOOKUP(C34,'EGI - Rate Class Volumes'!$C$9:$E$42,3,0)</f>
        <v>#N/A</v>
      </c>
      <c r="F34" s="13" t="str">
        <f t="shared" si="1"/>
        <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FA315-73F0-9941-B63A-16F5E4FACB35}">
  <sheetPr>
    <tabColor theme="0" tint="-0.249977111117893"/>
    <pageSetUpPr fitToPage="1"/>
  </sheetPr>
  <dimension ref="A1:N49"/>
  <sheetViews>
    <sheetView zoomScale="150" workbookViewId="0">
      <selection activeCell="F6" sqref="F6"/>
    </sheetView>
  </sheetViews>
  <sheetFormatPr baseColWidth="10" defaultColWidth="8.83203125" defaultRowHeight="15" x14ac:dyDescent="0.2"/>
  <cols>
    <col min="1" max="1" width="32.33203125" style="69" customWidth="1"/>
    <col min="2" max="2" width="9.5" style="69" bestFit="1" customWidth="1"/>
    <col min="3" max="3" width="32" style="69" bestFit="1" customWidth="1"/>
    <col min="4" max="9" width="12.6640625" style="69" customWidth="1"/>
    <col min="10" max="10" width="5.5" style="69" customWidth="1"/>
    <col min="11" max="13" width="12.6640625" style="69" customWidth="1"/>
    <col min="14" max="14" width="11.83203125" style="69" customWidth="1"/>
    <col min="15" max="16384" width="8.83203125" style="69"/>
  </cols>
  <sheetData>
    <row r="1" spans="1:14" ht="62.25" customHeight="1" x14ac:dyDescent="0.2">
      <c r="I1" s="286" t="s">
        <v>319</v>
      </c>
      <c r="J1" s="286"/>
      <c r="K1" s="188"/>
    </row>
    <row r="4" spans="1:14" x14ac:dyDescent="0.2">
      <c r="A4" s="189" t="s">
        <v>320</v>
      </c>
      <c r="B4" s="190"/>
      <c r="C4" s="190"/>
      <c r="D4" s="190"/>
      <c r="E4" s="190"/>
      <c r="F4" s="190"/>
      <c r="G4" s="190"/>
      <c r="H4" s="190"/>
      <c r="I4" s="190"/>
    </row>
    <row r="5" spans="1:14" ht="17" x14ac:dyDescent="0.2">
      <c r="A5" s="189" t="s">
        <v>321</v>
      </c>
      <c r="B5" s="190"/>
      <c r="C5" s="190"/>
      <c r="D5" s="190"/>
      <c r="E5" s="190"/>
      <c r="F5" s="190"/>
      <c r="G5" s="190"/>
      <c r="H5" s="190"/>
      <c r="I5" s="190"/>
    </row>
    <row r="6" spans="1:14" x14ac:dyDescent="0.2">
      <c r="A6" s="191"/>
      <c r="B6" s="190"/>
      <c r="C6" s="190"/>
      <c r="D6" s="190"/>
      <c r="E6" s="190"/>
      <c r="F6" s="190"/>
      <c r="G6" s="190"/>
      <c r="H6" s="190"/>
      <c r="I6" s="190"/>
    </row>
    <row r="7" spans="1:14" x14ac:dyDescent="0.2">
      <c r="A7" s="192" t="s">
        <v>322</v>
      </c>
      <c r="B7" s="192" t="s">
        <v>18</v>
      </c>
      <c r="C7" s="192" t="s">
        <v>323</v>
      </c>
      <c r="D7" s="192">
        <v>2021</v>
      </c>
      <c r="E7" s="192">
        <v>2023</v>
      </c>
      <c r="F7" s="192">
        <v>2024</v>
      </c>
      <c r="G7" s="192">
        <v>2025</v>
      </c>
      <c r="H7" s="192">
        <v>2026</v>
      </c>
      <c r="I7" s="192">
        <v>2027</v>
      </c>
      <c r="J7" s="80"/>
      <c r="K7" s="80"/>
      <c r="L7" s="80"/>
      <c r="M7" s="80"/>
    </row>
    <row r="8" spans="1:14" x14ac:dyDescent="0.2">
      <c r="A8" s="189"/>
      <c r="B8" s="189"/>
      <c r="C8" s="189"/>
      <c r="D8" s="189"/>
      <c r="E8" s="189"/>
      <c r="F8" s="189"/>
      <c r="G8" s="189"/>
      <c r="H8" s="189"/>
      <c r="I8" s="189"/>
      <c r="J8" s="80"/>
      <c r="K8" s="80"/>
      <c r="L8" s="80"/>
      <c r="M8" s="80"/>
    </row>
    <row r="9" spans="1:14" x14ac:dyDescent="0.2">
      <c r="A9" s="190" t="s">
        <v>29</v>
      </c>
      <c r="B9" s="190" t="s">
        <v>19</v>
      </c>
      <c r="C9" s="190" t="str">
        <f>A9&amp;"_"&amp;B9</f>
        <v>EGD_Rate 1</v>
      </c>
      <c r="D9" s="193"/>
      <c r="E9" s="193">
        <v>5129330.7888860116</v>
      </c>
      <c r="F9" s="193">
        <v>5162340.4693010664</v>
      </c>
      <c r="G9" s="193">
        <v>5193657.8826753972</v>
      </c>
      <c r="H9" s="193">
        <v>5226434.3168941597</v>
      </c>
      <c r="I9" s="193">
        <v>5257912.7986549316</v>
      </c>
      <c r="J9" s="194"/>
      <c r="K9" s="194"/>
      <c r="L9" s="194"/>
      <c r="M9" s="194"/>
      <c r="N9" s="194"/>
    </row>
    <row r="10" spans="1:14" x14ac:dyDescent="0.2">
      <c r="A10" s="190" t="s">
        <v>29</v>
      </c>
      <c r="B10" s="190" t="s">
        <v>20</v>
      </c>
      <c r="C10" s="190" t="str">
        <f t="shared" ref="C10:C42" si="0">A10&amp;"_"&amp;B10</f>
        <v>EGD_Rate 6</v>
      </c>
      <c r="D10" s="193"/>
      <c r="E10" s="193">
        <v>4765429.3926551584</v>
      </c>
      <c r="F10" s="193">
        <v>4785268.0708602006</v>
      </c>
      <c r="G10" s="193">
        <v>4809153.8366493369</v>
      </c>
      <c r="H10" s="193">
        <v>4837878.4698288683</v>
      </c>
      <c r="I10" s="193">
        <v>4866432.1771651516</v>
      </c>
      <c r="J10" s="194"/>
      <c r="K10" s="194"/>
      <c r="L10" s="194"/>
      <c r="M10" s="194"/>
      <c r="N10" s="194"/>
    </row>
    <row r="11" spans="1:14" x14ac:dyDescent="0.2">
      <c r="A11" s="190" t="s">
        <v>29</v>
      </c>
      <c r="B11" s="190" t="s">
        <v>21</v>
      </c>
      <c r="C11" s="190" t="str">
        <f t="shared" si="0"/>
        <v>EGD_Rate 9</v>
      </c>
      <c r="D11" s="193"/>
      <c r="E11" s="193"/>
      <c r="F11" s="193"/>
      <c r="G11" s="193"/>
      <c r="H11" s="193"/>
      <c r="I11" s="193"/>
      <c r="J11" s="194"/>
      <c r="K11" s="194"/>
      <c r="L11" s="194"/>
      <c r="M11" s="194"/>
    </row>
    <row r="12" spans="1:14" x14ac:dyDescent="0.2">
      <c r="A12" s="190" t="s">
        <v>30</v>
      </c>
      <c r="B12" s="190" t="s">
        <v>31</v>
      </c>
      <c r="C12" s="190" t="str">
        <f t="shared" si="0"/>
        <v>Union South_M1</v>
      </c>
      <c r="D12" s="193"/>
      <c r="E12" s="193">
        <v>3144085.7008852442</v>
      </c>
      <c r="F12" s="193">
        <v>3168990.6840718142</v>
      </c>
      <c r="G12" s="193">
        <v>3162748.9150064229</v>
      </c>
      <c r="H12" s="193">
        <v>3171434.4459382654</v>
      </c>
      <c r="I12" s="193">
        <v>3179197.9681030409</v>
      </c>
      <c r="J12" s="194"/>
      <c r="K12" s="194"/>
      <c r="L12" s="194"/>
      <c r="M12" s="194"/>
      <c r="N12" s="194"/>
    </row>
    <row r="13" spans="1:14" x14ac:dyDescent="0.2">
      <c r="A13" s="190" t="s">
        <v>30</v>
      </c>
      <c r="B13" s="190" t="s">
        <v>32</v>
      </c>
      <c r="C13" s="190" t="str">
        <f t="shared" si="0"/>
        <v>Union South_M2</v>
      </c>
      <c r="D13" s="193"/>
      <c r="E13" s="193">
        <v>1291379.3906499986</v>
      </c>
      <c r="F13" s="193">
        <v>1297767.9521861307</v>
      </c>
      <c r="G13" s="193">
        <v>1293152.9353351202</v>
      </c>
      <c r="H13" s="193">
        <v>1293740.7371337113</v>
      </c>
      <c r="I13" s="193">
        <v>1293958.4378784776</v>
      </c>
      <c r="J13" s="194"/>
      <c r="K13" s="194"/>
      <c r="L13" s="194"/>
      <c r="M13" s="194"/>
      <c r="N13" s="194"/>
    </row>
    <row r="14" spans="1:14" x14ac:dyDescent="0.2">
      <c r="A14" s="190" t="s">
        <v>33</v>
      </c>
      <c r="B14" s="190" t="s">
        <v>34</v>
      </c>
      <c r="C14" s="190" t="str">
        <f t="shared" si="0"/>
        <v>Union North_R01</v>
      </c>
      <c r="D14" s="193"/>
      <c r="E14" s="193">
        <v>1029177.2418449726</v>
      </c>
      <c r="F14" s="193">
        <v>1038943.1639126801</v>
      </c>
      <c r="G14" s="193">
        <v>1038380.7953261343</v>
      </c>
      <c r="H14" s="193">
        <v>1043156.70519961</v>
      </c>
      <c r="I14" s="193">
        <v>1047504.4868657778</v>
      </c>
      <c r="J14" s="194"/>
      <c r="K14" s="194"/>
      <c r="L14" s="194"/>
      <c r="M14" s="194"/>
      <c r="N14" s="194"/>
    </row>
    <row r="15" spans="1:14" x14ac:dyDescent="0.2">
      <c r="A15" s="190" t="s">
        <v>33</v>
      </c>
      <c r="B15" s="190" t="s">
        <v>35</v>
      </c>
      <c r="C15" s="190" t="str">
        <f t="shared" si="0"/>
        <v>Union North_R10</v>
      </c>
      <c r="D15" s="193"/>
      <c r="E15" s="193">
        <v>367990.49201250984</v>
      </c>
      <c r="F15" s="193">
        <v>369762.3415470511</v>
      </c>
      <c r="G15" s="193">
        <v>368439.85729311098</v>
      </c>
      <c r="H15" s="193">
        <v>368649.32122746442</v>
      </c>
      <c r="I15" s="193">
        <v>368734.96832514537</v>
      </c>
      <c r="J15" s="194"/>
      <c r="K15" s="194"/>
      <c r="L15" s="194"/>
      <c r="M15" s="194"/>
      <c r="N15" s="194"/>
    </row>
    <row r="16" spans="1:14" ht="16" x14ac:dyDescent="0.2">
      <c r="A16" s="192" t="s">
        <v>17</v>
      </c>
      <c r="B16" s="195"/>
      <c r="C16" s="195" t="str">
        <f t="shared" si="0"/>
        <v>Total _</v>
      </c>
      <c r="D16" s="196">
        <f>SUM(D9:D15)</f>
        <v>0</v>
      </c>
      <c r="E16" s="196">
        <f t="shared" ref="E16:I16" si="1">SUM(E9:E15)</f>
        <v>15727393.006933896</v>
      </c>
      <c r="F16" s="196">
        <f t="shared" si="1"/>
        <v>15823072.681878943</v>
      </c>
      <c r="G16" s="196">
        <f t="shared" si="1"/>
        <v>15865534.222285522</v>
      </c>
      <c r="H16" s="196">
        <f t="shared" si="1"/>
        <v>15941293.996222081</v>
      </c>
      <c r="I16" s="196">
        <f t="shared" si="1"/>
        <v>16013740.836992525</v>
      </c>
      <c r="J16" s="197"/>
      <c r="K16" s="197"/>
      <c r="L16" s="197"/>
      <c r="M16" s="197"/>
    </row>
    <row r="17" spans="1:13" x14ac:dyDescent="0.2">
      <c r="A17" s="190"/>
      <c r="B17" s="190"/>
      <c r="C17" s="190" t="str">
        <f t="shared" si="0"/>
        <v>_</v>
      </c>
      <c r="D17" s="190"/>
      <c r="E17" s="198"/>
      <c r="F17" s="198"/>
      <c r="G17" s="198"/>
      <c r="H17" s="198"/>
      <c r="I17" s="198"/>
      <c r="J17" s="199"/>
      <c r="K17" s="199"/>
      <c r="L17" s="199"/>
      <c r="M17" s="199"/>
    </row>
    <row r="18" spans="1:13" x14ac:dyDescent="0.2">
      <c r="A18" s="192" t="s">
        <v>324</v>
      </c>
      <c r="B18" s="192" t="s">
        <v>18</v>
      </c>
      <c r="C18" s="192" t="str">
        <f t="shared" si="0"/>
        <v>Contract Market / Rate Zone_Rate Class</v>
      </c>
      <c r="D18" s="200">
        <f t="shared" ref="D18:I18" si="2">D7</f>
        <v>2021</v>
      </c>
      <c r="E18" s="200">
        <f t="shared" si="2"/>
        <v>2023</v>
      </c>
      <c r="F18" s="200">
        <f t="shared" si="2"/>
        <v>2024</v>
      </c>
      <c r="G18" s="200">
        <f t="shared" si="2"/>
        <v>2025</v>
      </c>
      <c r="H18" s="200">
        <f t="shared" si="2"/>
        <v>2026</v>
      </c>
      <c r="I18" s="200">
        <f t="shared" si="2"/>
        <v>2027</v>
      </c>
      <c r="J18" s="201"/>
      <c r="K18" s="201"/>
      <c r="L18" s="201"/>
      <c r="M18" s="201"/>
    </row>
    <row r="19" spans="1:13" x14ac:dyDescent="0.2">
      <c r="A19" s="190" t="s">
        <v>29</v>
      </c>
      <c r="B19" s="190" t="s">
        <v>22</v>
      </c>
      <c r="C19" s="190" t="str">
        <f t="shared" si="0"/>
        <v>EGD_Rate 100</v>
      </c>
      <c r="D19" s="193"/>
      <c r="E19" s="193">
        <v>30330.572798000001</v>
      </c>
      <c r="F19" s="193">
        <v>29422.584596000001</v>
      </c>
      <c r="G19" s="193">
        <v>28514.596394</v>
      </c>
      <c r="H19" s="193">
        <v>27606.608192000003</v>
      </c>
      <c r="I19" s="193">
        <v>26698.619990000003</v>
      </c>
      <c r="J19" s="194"/>
      <c r="K19" s="194"/>
      <c r="L19" s="194"/>
      <c r="M19" s="194"/>
    </row>
    <row r="20" spans="1:13" x14ac:dyDescent="0.2">
      <c r="A20" s="190" t="str">
        <f t="shared" ref="A20:A25" si="3">A19</f>
        <v>EGD</v>
      </c>
      <c r="B20" s="190" t="s">
        <v>23</v>
      </c>
      <c r="C20" s="190" t="str">
        <f t="shared" si="0"/>
        <v>EGD_Rate 110</v>
      </c>
      <c r="D20" s="193"/>
      <c r="E20" s="193">
        <v>1142179.4562964002</v>
      </c>
      <c r="F20" s="193">
        <v>1138576.7635928001</v>
      </c>
      <c r="G20" s="193">
        <v>1134974.0708892003</v>
      </c>
      <c r="H20" s="193">
        <v>1131371.3781856003</v>
      </c>
      <c r="I20" s="193">
        <v>1127768.6854820005</v>
      </c>
      <c r="J20" s="194"/>
      <c r="K20" s="194"/>
      <c r="L20" s="194"/>
      <c r="M20" s="194"/>
    </row>
    <row r="21" spans="1:13" x14ac:dyDescent="0.2">
      <c r="A21" s="190" t="str">
        <f t="shared" si="3"/>
        <v>EGD</v>
      </c>
      <c r="B21" s="190" t="s">
        <v>24</v>
      </c>
      <c r="C21" s="190" t="str">
        <f t="shared" si="0"/>
        <v>EGD_Rate 115</v>
      </c>
      <c r="D21" s="193"/>
      <c r="E21" s="193">
        <v>368967.19897799997</v>
      </c>
      <c r="F21" s="193">
        <v>364455.093956</v>
      </c>
      <c r="G21" s="193">
        <v>359942.98893399996</v>
      </c>
      <c r="H21" s="193">
        <v>355430.88391199993</v>
      </c>
      <c r="I21" s="193">
        <v>350918.7788899999</v>
      </c>
      <c r="J21" s="194"/>
      <c r="K21" s="194"/>
      <c r="L21" s="194"/>
      <c r="M21" s="194"/>
    </row>
    <row r="22" spans="1:13" x14ac:dyDescent="0.2">
      <c r="A22" s="190" t="str">
        <f t="shared" si="3"/>
        <v>EGD</v>
      </c>
      <c r="B22" s="190" t="s">
        <v>36</v>
      </c>
      <c r="C22" s="190" t="str">
        <f t="shared" si="0"/>
        <v>EGD_Rate 125</v>
      </c>
      <c r="D22" s="193"/>
      <c r="E22" s="193">
        <v>558825.73199999996</v>
      </c>
      <c r="F22" s="193">
        <v>558825.73199999996</v>
      </c>
      <c r="G22" s="193">
        <v>558825.73199999996</v>
      </c>
      <c r="H22" s="193">
        <v>558825.73199999996</v>
      </c>
      <c r="I22" s="193">
        <v>558825.73199999996</v>
      </c>
      <c r="J22" s="194"/>
      <c r="K22" s="194"/>
      <c r="L22" s="194"/>
      <c r="M22" s="194"/>
    </row>
    <row r="23" spans="1:13" x14ac:dyDescent="0.2">
      <c r="A23" s="190" t="str">
        <f t="shared" si="3"/>
        <v>EGD</v>
      </c>
      <c r="B23" s="190" t="s">
        <v>25</v>
      </c>
      <c r="C23" s="190" t="str">
        <f t="shared" si="0"/>
        <v>EGD_Rate 135</v>
      </c>
      <c r="D23" s="193"/>
      <c r="E23" s="193">
        <v>58035.665368299997</v>
      </c>
      <c r="F23" s="193">
        <v>57092.817736599995</v>
      </c>
      <c r="G23" s="193">
        <v>56149.970104899992</v>
      </c>
      <c r="H23" s="193">
        <v>55207.12247319999</v>
      </c>
      <c r="I23" s="193">
        <v>54264.274841499995</v>
      </c>
      <c r="J23" s="194"/>
      <c r="K23" s="194"/>
      <c r="L23" s="194"/>
      <c r="M23" s="194"/>
    </row>
    <row r="24" spans="1:13" x14ac:dyDescent="0.2">
      <c r="A24" s="190" t="str">
        <f t="shared" si="3"/>
        <v>EGD</v>
      </c>
      <c r="B24" s="190" t="s">
        <v>26</v>
      </c>
      <c r="C24" s="190" t="str">
        <f t="shared" si="0"/>
        <v>EGD_Rate 145</v>
      </c>
      <c r="D24" s="193"/>
      <c r="E24" s="193">
        <v>25939.458682955137</v>
      </c>
      <c r="F24" s="193">
        <v>25939.458682955137</v>
      </c>
      <c r="G24" s="193">
        <v>25939.458682955137</v>
      </c>
      <c r="H24" s="193">
        <v>25939.458682955137</v>
      </c>
      <c r="I24" s="193">
        <v>25939.458682955137</v>
      </c>
      <c r="J24" s="194"/>
      <c r="K24" s="194"/>
      <c r="L24" s="194"/>
      <c r="M24" s="194"/>
    </row>
    <row r="25" spans="1:13" x14ac:dyDescent="0.2">
      <c r="A25" s="190" t="str">
        <f t="shared" si="3"/>
        <v>EGD</v>
      </c>
      <c r="B25" s="190" t="s">
        <v>27</v>
      </c>
      <c r="C25" s="190" t="str">
        <f t="shared" si="0"/>
        <v>EGD_Rate 170</v>
      </c>
      <c r="D25" s="193"/>
      <c r="E25" s="193">
        <v>253114.21786044486</v>
      </c>
      <c r="F25" s="193">
        <v>252690.60940384484</v>
      </c>
      <c r="G25" s="193">
        <v>252267.00094724481</v>
      </c>
      <c r="H25" s="193">
        <v>251843.39249064482</v>
      </c>
      <c r="I25" s="193">
        <v>251419.7840340448</v>
      </c>
      <c r="J25" s="194"/>
      <c r="K25" s="194"/>
      <c r="L25" s="194"/>
      <c r="M25" s="194"/>
    </row>
    <row r="26" spans="1:13" x14ac:dyDescent="0.2">
      <c r="A26" s="190" t="s">
        <v>29</v>
      </c>
      <c r="B26" s="190" t="s">
        <v>37</v>
      </c>
      <c r="C26" s="190" t="str">
        <f t="shared" si="0"/>
        <v>EGD_Rate 200</v>
      </c>
      <c r="D26" s="193"/>
      <c r="E26" s="193">
        <v>188317.3</v>
      </c>
      <c r="F26" s="193">
        <v>188317.3</v>
      </c>
      <c r="G26" s="193">
        <v>188317.3</v>
      </c>
      <c r="H26" s="193">
        <v>188317.3</v>
      </c>
      <c r="I26" s="193">
        <v>188317.3</v>
      </c>
      <c r="J26" s="194"/>
      <c r="K26" s="194"/>
      <c r="L26" s="194"/>
      <c r="M26" s="194"/>
    </row>
    <row r="27" spans="1:13" x14ac:dyDescent="0.2">
      <c r="A27" s="190" t="str">
        <f>A25</f>
        <v>EGD</v>
      </c>
      <c r="B27" s="190" t="s">
        <v>38</v>
      </c>
      <c r="C27" s="190" t="str">
        <f t="shared" si="0"/>
        <v>EGD_Rate 300</v>
      </c>
      <c r="D27" s="193"/>
      <c r="E27" s="193">
        <v>122.5</v>
      </c>
      <c r="F27" s="193">
        <v>122.5</v>
      </c>
      <c r="G27" s="193">
        <v>122.5</v>
      </c>
      <c r="H27" s="193">
        <v>122.5</v>
      </c>
      <c r="I27" s="193">
        <v>122.5</v>
      </c>
      <c r="J27" s="194"/>
      <c r="K27" s="194"/>
      <c r="L27" s="194"/>
      <c r="M27" s="194"/>
    </row>
    <row r="28" spans="1:13" x14ac:dyDescent="0.2">
      <c r="A28" s="190" t="str">
        <f>A27</f>
        <v>EGD</v>
      </c>
      <c r="B28" s="190" t="s">
        <v>39</v>
      </c>
      <c r="C28" s="190" t="str">
        <f t="shared" si="0"/>
        <v>EGD_Rate 315</v>
      </c>
      <c r="D28" s="193"/>
      <c r="E28" s="193">
        <v>0</v>
      </c>
      <c r="F28" s="193">
        <v>0</v>
      </c>
      <c r="G28" s="193">
        <v>0</v>
      </c>
      <c r="H28" s="193">
        <v>0</v>
      </c>
      <c r="I28" s="193">
        <v>0</v>
      </c>
      <c r="J28" s="194"/>
      <c r="K28" s="194"/>
      <c r="L28" s="194"/>
      <c r="M28" s="194"/>
    </row>
    <row r="29" spans="1:13" x14ac:dyDescent="0.2">
      <c r="A29" s="190" t="s">
        <v>33</v>
      </c>
      <c r="B29" s="190" t="s">
        <v>40</v>
      </c>
      <c r="C29" s="190" t="str">
        <f t="shared" si="0"/>
        <v>Union North_Rate_20</v>
      </c>
      <c r="D29" s="193"/>
      <c r="E29" s="193">
        <v>799995.51247173909</v>
      </c>
      <c r="F29" s="193">
        <v>798220.43195567408</v>
      </c>
      <c r="G29" s="193">
        <v>796116.75257985701</v>
      </c>
      <c r="H29" s="193">
        <v>794013.07319004601</v>
      </c>
      <c r="I29" s="193">
        <v>805596.8938001371</v>
      </c>
      <c r="J29" s="194"/>
      <c r="K29" s="194"/>
      <c r="L29" s="194"/>
      <c r="M29" s="194"/>
    </row>
    <row r="30" spans="1:13" x14ac:dyDescent="0.2">
      <c r="A30" s="190" t="s">
        <v>33</v>
      </c>
      <c r="B30" s="190" t="s">
        <v>41</v>
      </c>
      <c r="C30" s="190" t="str">
        <f t="shared" si="0"/>
        <v>Union North_Rate_25</v>
      </c>
      <c r="D30" s="193"/>
      <c r="E30" s="193">
        <v>91136.372530117005</v>
      </c>
      <c r="F30" s="193">
        <v>89179.773638129001</v>
      </c>
      <c r="G30" s="193">
        <v>89179.773638129001</v>
      </c>
      <c r="H30" s="193">
        <v>89179.773638129001</v>
      </c>
      <c r="I30" s="193">
        <v>89179.773638129001</v>
      </c>
      <c r="J30" s="194"/>
      <c r="K30" s="194"/>
      <c r="L30" s="194"/>
      <c r="M30" s="194"/>
    </row>
    <row r="31" spans="1:13" x14ac:dyDescent="0.2">
      <c r="A31" s="190" t="s">
        <v>33</v>
      </c>
      <c r="B31" s="190" t="s">
        <v>42</v>
      </c>
      <c r="C31" s="190" t="str">
        <f t="shared" si="0"/>
        <v>Union North_Rate_100</v>
      </c>
      <c r="D31" s="193"/>
      <c r="E31" s="193">
        <v>1096177.0316297801</v>
      </c>
      <c r="F31" s="193">
        <v>1110212.4588898001</v>
      </c>
      <c r="G31" s="193">
        <v>1109119.88614986</v>
      </c>
      <c r="H31" s="193">
        <v>1108027.31340983</v>
      </c>
      <c r="I31" s="193">
        <v>1106934.7406695799</v>
      </c>
      <c r="J31" s="194"/>
      <c r="K31" s="194"/>
      <c r="L31" s="194"/>
      <c r="M31" s="194"/>
    </row>
    <row r="32" spans="1:13" x14ac:dyDescent="0.2">
      <c r="A32" s="190" t="s">
        <v>30</v>
      </c>
      <c r="B32" s="190" t="s">
        <v>43</v>
      </c>
      <c r="C32" s="190" t="str">
        <f t="shared" si="0"/>
        <v>Union South_Rate_M4</v>
      </c>
      <c r="D32" s="193"/>
      <c r="E32" s="193">
        <v>609731.93986711709</v>
      </c>
      <c r="F32" s="193">
        <v>608087.78908711695</v>
      </c>
      <c r="G32" s="193">
        <v>606462.68612111697</v>
      </c>
      <c r="H32" s="193">
        <v>604837.58314211702</v>
      </c>
      <c r="I32" s="193">
        <v>603212.48016111692</v>
      </c>
      <c r="J32" s="194"/>
      <c r="K32" s="194"/>
      <c r="L32" s="194"/>
      <c r="M32" s="194"/>
    </row>
    <row r="33" spans="1:13" x14ac:dyDescent="0.2">
      <c r="A33" s="190" t="s">
        <v>30</v>
      </c>
      <c r="B33" s="190" t="s">
        <v>44</v>
      </c>
      <c r="C33" s="190" t="str">
        <f t="shared" si="0"/>
        <v>Union South_Rate_M5</v>
      </c>
      <c r="D33" s="193"/>
      <c r="E33" s="193">
        <v>61601.1812628841</v>
      </c>
      <c r="F33" s="193">
        <v>60886.799052874107</v>
      </c>
      <c r="G33" s="193">
        <v>60172.416842904102</v>
      </c>
      <c r="H33" s="193">
        <v>59458.034632814102</v>
      </c>
      <c r="I33" s="193">
        <v>58743.652422884101</v>
      </c>
      <c r="J33" s="194"/>
      <c r="K33" s="194"/>
      <c r="L33" s="194"/>
      <c r="M33" s="194"/>
    </row>
    <row r="34" spans="1:13" x14ac:dyDescent="0.2">
      <c r="A34" s="190" t="s">
        <v>30</v>
      </c>
      <c r="B34" s="190" t="s">
        <v>45</v>
      </c>
      <c r="C34" s="190" t="str">
        <f t="shared" si="0"/>
        <v>Union South_Rate_M7</v>
      </c>
      <c r="D34" s="193"/>
      <c r="E34" s="193">
        <v>703063.22013999999</v>
      </c>
      <c r="F34" s="193">
        <v>724759.29590000003</v>
      </c>
      <c r="G34" s="193">
        <v>746455.38363399997</v>
      </c>
      <c r="H34" s="193">
        <v>768151.45937499998</v>
      </c>
      <c r="I34" s="193">
        <v>789847.53511499998</v>
      </c>
      <c r="J34" s="194"/>
      <c r="K34" s="194"/>
      <c r="L34" s="194"/>
      <c r="M34" s="194"/>
    </row>
    <row r="35" spans="1:13" x14ac:dyDescent="0.2">
      <c r="A35" s="190" t="s">
        <v>30</v>
      </c>
      <c r="B35" s="190" t="s">
        <v>46</v>
      </c>
      <c r="C35" s="190" t="str">
        <f t="shared" si="0"/>
        <v>Union South_Rate_M9</v>
      </c>
      <c r="D35" s="193"/>
      <c r="E35" s="193">
        <v>88844.912400000001</v>
      </c>
      <c r="F35" s="193">
        <v>88844.912400000001</v>
      </c>
      <c r="G35" s="193">
        <v>88844.912400000001</v>
      </c>
      <c r="H35" s="193">
        <v>88844.912400000001</v>
      </c>
      <c r="I35" s="193">
        <v>88844.912400000001</v>
      </c>
      <c r="J35" s="194"/>
      <c r="K35" s="194"/>
      <c r="L35" s="194"/>
      <c r="M35" s="194"/>
    </row>
    <row r="36" spans="1:13" x14ac:dyDescent="0.2">
      <c r="A36" s="190" t="s">
        <v>30</v>
      </c>
      <c r="B36" s="190" t="s">
        <v>47</v>
      </c>
      <c r="C36" s="190" t="str">
        <f t="shared" si="0"/>
        <v>Union South_Rate_M10</v>
      </c>
      <c r="D36" s="193"/>
      <c r="E36" s="193">
        <v>359.85419999999999</v>
      </c>
      <c r="F36" s="193">
        <v>359.85419999999999</v>
      </c>
      <c r="G36" s="193">
        <v>359.85419999999999</v>
      </c>
      <c r="H36" s="193">
        <v>359.85419999999999</v>
      </c>
      <c r="I36" s="193">
        <v>359.85419999999999</v>
      </c>
      <c r="J36" s="194"/>
      <c r="K36" s="194"/>
      <c r="L36" s="194"/>
      <c r="M36" s="194"/>
    </row>
    <row r="37" spans="1:13" x14ac:dyDescent="0.2">
      <c r="A37" s="190" t="s">
        <v>30</v>
      </c>
      <c r="B37" s="190" t="s">
        <v>48</v>
      </c>
      <c r="C37" s="190" t="str">
        <f t="shared" si="0"/>
        <v>Union South_Rate_T1</v>
      </c>
      <c r="D37" s="193"/>
      <c r="E37" s="193">
        <v>421616.60785022</v>
      </c>
      <c r="F37" s="193">
        <v>420905.96889025002</v>
      </c>
      <c r="G37" s="193">
        <v>420195.32992264995</v>
      </c>
      <c r="H37" s="193">
        <v>419484.69096275</v>
      </c>
      <c r="I37" s="193">
        <v>418774.05200286</v>
      </c>
      <c r="J37" s="194"/>
      <c r="K37" s="194"/>
      <c r="L37" s="194"/>
      <c r="M37" s="194"/>
    </row>
    <row r="38" spans="1:13" x14ac:dyDescent="0.2">
      <c r="A38" s="190" t="s">
        <v>30</v>
      </c>
      <c r="B38" s="190" t="s">
        <v>49</v>
      </c>
      <c r="C38" s="190" t="str">
        <f t="shared" si="0"/>
        <v>Union South_Rate_T2</v>
      </c>
      <c r="D38" s="193"/>
      <c r="E38" s="193">
        <v>4234320.5033039395</v>
      </c>
      <c r="F38" s="193">
        <v>4243080.5228793398</v>
      </c>
      <c r="G38" s="193">
        <v>4251840.5424455395</v>
      </c>
      <c r="H38" s="193">
        <v>4337432.4856210407</v>
      </c>
      <c r="I38" s="193">
        <v>4346192.5051910402</v>
      </c>
      <c r="J38" s="194"/>
      <c r="K38" s="194"/>
      <c r="L38" s="194"/>
      <c r="M38" s="194"/>
    </row>
    <row r="39" spans="1:13" x14ac:dyDescent="0.2">
      <c r="A39" s="190" t="s">
        <v>30</v>
      </c>
      <c r="B39" s="190" t="s">
        <v>50</v>
      </c>
      <c r="C39" s="190" t="str">
        <f t="shared" si="0"/>
        <v>Union South_Rate_T3</v>
      </c>
      <c r="D39" s="193"/>
      <c r="E39" s="193">
        <v>264208.77533000003</v>
      </c>
      <c r="F39" s="193">
        <v>264208.77533000003</v>
      </c>
      <c r="G39" s="193">
        <v>264208.77533000003</v>
      </c>
      <c r="H39" s="193">
        <v>264208.77533000003</v>
      </c>
      <c r="I39" s="193">
        <v>264208.77533000003</v>
      </c>
      <c r="J39" s="194"/>
      <c r="K39" s="194"/>
      <c r="L39" s="194"/>
      <c r="M39" s="194"/>
    </row>
    <row r="40" spans="1:13" ht="16" x14ac:dyDescent="0.2">
      <c r="A40" s="192" t="s">
        <v>17</v>
      </c>
      <c r="B40" s="195"/>
      <c r="C40" s="195" t="str">
        <f t="shared" si="0"/>
        <v>Total _</v>
      </c>
      <c r="D40" s="202">
        <f>SUM(D19:D39)</f>
        <v>0</v>
      </c>
      <c r="E40" s="196">
        <f>SUM(E19:E39)</f>
        <v>10996888.012969896</v>
      </c>
      <c r="F40" s="196">
        <f>SUM(F19:F39)</f>
        <v>11024189.442191385</v>
      </c>
      <c r="G40" s="196">
        <f>SUM(G19:G39)</f>
        <v>11038009.931216357</v>
      </c>
      <c r="H40" s="196">
        <f t="shared" ref="H40:I40" si="4">SUM(H19:H39)</f>
        <v>11128662.331838125</v>
      </c>
      <c r="I40" s="196">
        <f t="shared" si="4"/>
        <v>11156170.30885125</v>
      </c>
      <c r="J40" s="197"/>
      <c r="K40" s="197"/>
      <c r="L40" s="197"/>
      <c r="M40" s="197"/>
    </row>
    <row r="41" spans="1:13" x14ac:dyDescent="0.2">
      <c r="C41" s="69" t="str">
        <f t="shared" si="0"/>
        <v>_</v>
      </c>
    </row>
    <row r="42" spans="1:13" ht="16" x14ac:dyDescent="0.2">
      <c r="A42" s="192" t="s">
        <v>325</v>
      </c>
      <c r="B42" s="195"/>
      <c r="C42" s="195" t="str">
        <f t="shared" si="0"/>
        <v>Total EGI Volumes_</v>
      </c>
      <c r="D42" s="202">
        <f>SUM(D19:D28)</f>
        <v>0</v>
      </c>
      <c r="E42" s="196">
        <f t="shared" ref="E42:I42" si="5">E16+E40</f>
        <v>26724281.019903794</v>
      </c>
      <c r="F42" s="196">
        <f t="shared" si="5"/>
        <v>26847262.124070328</v>
      </c>
      <c r="G42" s="196">
        <f t="shared" si="5"/>
        <v>26903544.153501879</v>
      </c>
      <c r="H42" s="196">
        <f t="shared" si="5"/>
        <v>27069956.328060206</v>
      </c>
      <c r="I42" s="196">
        <f t="shared" si="5"/>
        <v>27169911.145843774</v>
      </c>
      <c r="J42" s="197"/>
      <c r="K42" s="197"/>
      <c r="L42" s="197"/>
      <c r="M42" s="197"/>
    </row>
    <row r="44" spans="1:13" x14ac:dyDescent="0.2">
      <c r="A44" s="203"/>
      <c r="B44" s="203"/>
      <c r="C44" s="203"/>
      <c r="D44" s="203"/>
      <c r="E44" s="204"/>
      <c r="F44" s="204"/>
      <c r="G44" s="204"/>
      <c r="H44" s="204"/>
      <c r="I44" s="204"/>
      <c r="J44" s="204"/>
      <c r="K44" s="204"/>
      <c r="L44" s="204"/>
      <c r="M44" s="204"/>
    </row>
    <row r="45" spans="1:13" x14ac:dyDescent="0.2">
      <c r="A45" s="203"/>
      <c r="B45" s="203"/>
      <c r="C45" s="203"/>
      <c r="D45" s="203"/>
      <c r="E45" s="204"/>
      <c r="F45" s="204"/>
      <c r="G45" s="204"/>
      <c r="H45" s="204"/>
      <c r="I45" s="204"/>
      <c r="J45" s="204"/>
      <c r="K45" s="204"/>
      <c r="L45" s="204"/>
      <c r="M45" s="204"/>
    </row>
    <row r="46" spans="1:13" x14ac:dyDescent="0.2">
      <c r="A46" s="203"/>
      <c r="B46" s="203"/>
      <c r="C46" s="203"/>
      <c r="D46" s="203"/>
      <c r="E46" s="204"/>
      <c r="F46" s="204"/>
      <c r="G46" s="204"/>
      <c r="H46" s="204"/>
      <c r="I46" s="204"/>
      <c r="J46" s="204"/>
      <c r="K46" s="204"/>
      <c r="L46" s="204"/>
      <c r="M46" s="204"/>
    </row>
    <row r="47" spans="1:13" x14ac:dyDescent="0.2">
      <c r="A47" s="203"/>
      <c r="B47" s="203"/>
      <c r="C47" s="203"/>
      <c r="D47" s="203"/>
      <c r="E47" s="204"/>
      <c r="F47" s="204"/>
      <c r="G47" s="204"/>
      <c r="H47" s="204"/>
      <c r="I47" s="204"/>
      <c r="J47" s="204"/>
      <c r="K47" s="204"/>
      <c r="L47" s="204"/>
      <c r="M47" s="204"/>
    </row>
    <row r="48" spans="1:13" x14ac:dyDescent="0.2">
      <c r="A48" s="203"/>
      <c r="B48" s="203"/>
      <c r="C48" s="203"/>
      <c r="D48" s="203"/>
      <c r="E48" s="204"/>
      <c r="F48" s="204"/>
      <c r="G48" s="204"/>
      <c r="H48" s="204"/>
      <c r="I48" s="204"/>
      <c r="J48" s="204"/>
      <c r="K48" s="204"/>
      <c r="L48" s="204"/>
      <c r="M48" s="204"/>
    </row>
    <row r="49" spans="1:13" x14ac:dyDescent="0.2">
      <c r="A49" s="203"/>
      <c r="B49" s="203"/>
      <c r="C49" s="203"/>
      <c r="D49" s="203"/>
      <c r="E49" s="204"/>
      <c r="F49" s="204"/>
      <c r="G49" s="204"/>
      <c r="H49" s="204"/>
      <c r="I49" s="204"/>
      <c r="J49" s="204"/>
      <c r="K49" s="204"/>
      <c r="L49" s="204"/>
      <c r="M49" s="204"/>
    </row>
  </sheetData>
  <mergeCells count="1">
    <mergeCell ref="I1:J1"/>
  </mergeCells>
  <printOptions horizontalCentered="1"/>
  <pageMargins left="0.7" right="0.7" top="1" bottom="0.75" header="0.3" footer="0.3"/>
  <pageSetup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D586E-902C-E54A-9895-46AC96B35720}">
  <sheetPr>
    <tabColor theme="0" tint="-0.249977111117893"/>
  </sheetPr>
  <dimension ref="B1:AP55"/>
  <sheetViews>
    <sheetView topLeftCell="Z1" zoomScale="150" zoomScaleNormal="150" zoomScaleSheetLayoutView="110" workbookViewId="0">
      <selection activeCell="F6" sqref="F6"/>
    </sheetView>
  </sheetViews>
  <sheetFormatPr baseColWidth="10" defaultColWidth="8.83203125" defaultRowHeight="15" x14ac:dyDescent="0.2"/>
  <cols>
    <col min="1" max="1" width="8.83203125" style="69"/>
    <col min="2" max="2" width="20.6640625" style="131" customWidth="1"/>
    <col min="3" max="3" width="16.6640625" style="131" customWidth="1"/>
    <col min="4" max="42" width="18.33203125" style="131" customWidth="1"/>
    <col min="43" max="16384" width="8.83203125" style="69"/>
  </cols>
  <sheetData>
    <row r="1" spans="2:42" ht="16" thickBot="1" x14ac:dyDescent="0.25">
      <c r="B1" s="131" t="s">
        <v>326</v>
      </c>
    </row>
    <row r="2" spans="2:42" x14ac:dyDescent="0.2">
      <c r="B2" s="205"/>
      <c r="C2" s="206"/>
      <c r="D2" s="287">
        <v>2015</v>
      </c>
      <c r="E2" s="288"/>
      <c r="F2" s="289"/>
      <c r="G2" s="287">
        <v>2016</v>
      </c>
      <c r="H2" s="288"/>
      <c r="I2" s="289"/>
      <c r="J2" s="287">
        <v>2017</v>
      </c>
      <c r="K2" s="288"/>
      <c r="L2" s="289"/>
      <c r="M2" s="287">
        <v>2018</v>
      </c>
      <c r="N2" s="288"/>
      <c r="O2" s="289"/>
      <c r="P2" s="287">
        <v>2019</v>
      </c>
      <c r="Q2" s="288"/>
      <c r="R2" s="289"/>
      <c r="S2" s="287">
        <v>2020</v>
      </c>
      <c r="T2" s="288"/>
      <c r="U2" s="289"/>
      <c r="V2" s="287">
        <v>2021</v>
      </c>
      <c r="W2" s="288"/>
      <c r="X2" s="289"/>
      <c r="Y2" s="287">
        <v>2022</v>
      </c>
      <c r="Z2" s="288"/>
      <c r="AA2" s="289"/>
      <c r="AB2" s="287">
        <v>2023</v>
      </c>
      <c r="AC2" s="288"/>
      <c r="AD2" s="289"/>
      <c r="AE2" s="287">
        <v>2024</v>
      </c>
      <c r="AF2" s="288"/>
      <c r="AG2" s="289"/>
      <c r="AH2" s="287">
        <v>2025</v>
      </c>
      <c r="AI2" s="288"/>
      <c r="AJ2" s="289"/>
      <c r="AK2" s="287">
        <v>2026</v>
      </c>
      <c r="AL2" s="288"/>
      <c r="AM2" s="289"/>
      <c r="AN2" s="287">
        <v>2027</v>
      </c>
      <c r="AO2" s="288"/>
      <c r="AP2" s="289"/>
    </row>
    <row r="3" spans="2:42" s="209" customFormat="1" ht="64.5" customHeight="1" x14ac:dyDescent="0.2">
      <c r="B3" s="167" t="s">
        <v>300</v>
      </c>
      <c r="C3" s="168" t="s">
        <v>18</v>
      </c>
      <c r="D3" s="207" t="s">
        <v>14</v>
      </c>
      <c r="E3" s="169" t="s">
        <v>12</v>
      </c>
      <c r="F3" s="208" t="s">
        <v>13</v>
      </c>
      <c r="G3" s="207" t="s">
        <v>14</v>
      </c>
      <c r="H3" s="169" t="s">
        <v>12</v>
      </c>
      <c r="I3" s="208" t="s">
        <v>13</v>
      </c>
      <c r="J3" s="207" t="s">
        <v>14</v>
      </c>
      <c r="K3" s="169" t="s">
        <v>12</v>
      </c>
      <c r="L3" s="208" t="s">
        <v>13</v>
      </c>
      <c r="M3" s="207" t="s">
        <v>14</v>
      </c>
      <c r="N3" s="169" t="s">
        <v>12</v>
      </c>
      <c r="O3" s="208" t="s">
        <v>13</v>
      </c>
      <c r="P3" s="207" t="s">
        <v>14</v>
      </c>
      <c r="Q3" s="169" t="s">
        <v>12</v>
      </c>
      <c r="R3" s="208" t="s">
        <v>13</v>
      </c>
      <c r="S3" s="207" t="s">
        <v>14</v>
      </c>
      <c r="T3" s="169" t="s">
        <v>12</v>
      </c>
      <c r="U3" s="208" t="s">
        <v>13</v>
      </c>
      <c r="V3" s="207" t="s">
        <v>14</v>
      </c>
      <c r="W3" s="169" t="s">
        <v>12</v>
      </c>
      <c r="X3" s="208" t="s">
        <v>13</v>
      </c>
      <c r="Y3" s="207" t="s">
        <v>14</v>
      </c>
      <c r="Z3" s="169" t="s">
        <v>12</v>
      </c>
      <c r="AA3" s="208" t="s">
        <v>13</v>
      </c>
      <c r="AB3" s="207" t="s">
        <v>327</v>
      </c>
      <c r="AC3" s="169" t="s">
        <v>12</v>
      </c>
      <c r="AD3" s="208" t="s">
        <v>13</v>
      </c>
      <c r="AE3" s="207" t="s">
        <v>327</v>
      </c>
      <c r="AF3" s="169" t="s">
        <v>12</v>
      </c>
      <c r="AG3" s="208" t="s">
        <v>13</v>
      </c>
      <c r="AH3" s="207" t="s">
        <v>327</v>
      </c>
      <c r="AI3" s="169" t="s">
        <v>12</v>
      </c>
      <c r="AJ3" s="208" t="s">
        <v>13</v>
      </c>
      <c r="AK3" s="207" t="s">
        <v>327</v>
      </c>
      <c r="AL3" s="169" t="s">
        <v>12</v>
      </c>
      <c r="AM3" s="208" t="s">
        <v>13</v>
      </c>
      <c r="AN3" s="207" t="s">
        <v>327</v>
      </c>
      <c r="AO3" s="169" t="s">
        <v>12</v>
      </c>
      <c r="AP3" s="208" t="s">
        <v>13</v>
      </c>
    </row>
    <row r="4" spans="2:42" x14ac:dyDescent="0.2">
      <c r="B4" s="170" t="s">
        <v>29</v>
      </c>
      <c r="C4" s="171" t="s">
        <v>19</v>
      </c>
      <c r="D4" s="210">
        <v>7538</v>
      </c>
      <c r="E4" s="172">
        <v>7891861.2389815664</v>
      </c>
      <c r="F4" s="211">
        <v>130482477.24721172</v>
      </c>
      <c r="G4" s="210">
        <v>31204</v>
      </c>
      <c r="H4" s="172">
        <v>19168044.447831012</v>
      </c>
      <c r="I4" s="211">
        <v>303878404.78000003</v>
      </c>
      <c r="J4" s="210">
        <v>26676</v>
      </c>
      <c r="K4" s="172">
        <v>9484529.7391820829</v>
      </c>
      <c r="L4" s="211">
        <v>211579449.27981207</v>
      </c>
      <c r="M4" s="210">
        <v>31929</v>
      </c>
      <c r="N4" s="172">
        <v>9903642.1642864458</v>
      </c>
      <c r="O4" s="211">
        <v>217259492</v>
      </c>
      <c r="P4" s="210">
        <v>34148</v>
      </c>
      <c r="Q4" s="172">
        <v>12402647.125763167</v>
      </c>
      <c r="R4" s="211">
        <v>283196583.08715105</v>
      </c>
      <c r="S4" s="210">
        <v>38771</v>
      </c>
      <c r="T4" s="172">
        <v>11395298.027511278</v>
      </c>
      <c r="U4" s="211">
        <v>247553835.41417778</v>
      </c>
      <c r="V4" s="210">
        <v>39776.776253956225</v>
      </c>
      <c r="W4" s="172">
        <v>13020857.676398486</v>
      </c>
      <c r="X4" s="211">
        <v>286505160.16597027</v>
      </c>
      <c r="Y4" s="210">
        <v>32357.873427728424</v>
      </c>
      <c r="Z4" s="172">
        <v>11425165.133084478</v>
      </c>
      <c r="AA4" s="211">
        <v>251671317.99289837</v>
      </c>
      <c r="AB4" s="210">
        <v>37332.564429769365</v>
      </c>
      <c r="AC4" s="172">
        <v>10239235.513450703</v>
      </c>
      <c r="AD4" s="211">
        <v>216774267.09531713</v>
      </c>
      <c r="AE4" s="210">
        <v>38200.321757518897</v>
      </c>
      <c r="AF4" s="172">
        <v>10475967.112600248</v>
      </c>
      <c r="AG4" s="211">
        <v>221777969.95151764</v>
      </c>
      <c r="AH4" s="210">
        <v>38964.328192669287</v>
      </c>
      <c r="AI4" s="172">
        <v>10685486.454852257</v>
      </c>
      <c r="AJ4" s="211">
        <v>226213529.35054797</v>
      </c>
      <c r="AK4" s="210">
        <v>39743.614756522664</v>
      </c>
      <c r="AL4" s="172">
        <v>10899196.183949297</v>
      </c>
      <c r="AM4" s="211">
        <v>230737799.93755889</v>
      </c>
      <c r="AN4" s="210">
        <v>40538.48705165313</v>
      </c>
      <c r="AO4" s="172">
        <v>11117180.107628286</v>
      </c>
      <c r="AP4" s="211">
        <v>235352555.93631017</v>
      </c>
    </row>
    <row r="5" spans="2:42" x14ac:dyDescent="0.2">
      <c r="B5" s="170" t="s">
        <v>29</v>
      </c>
      <c r="C5" s="171" t="s">
        <v>20</v>
      </c>
      <c r="D5" s="210">
        <v>1442</v>
      </c>
      <c r="E5" s="172">
        <v>29863690.036333963</v>
      </c>
      <c r="F5" s="211">
        <v>552838932.38619649</v>
      </c>
      <c r="G5" s="210">
        <v>1423</v>
      </c>
      <c r="H5" s="172">
        <v>23410680.871012844</v>
      </c>
      <c r="I5" s="211">
        <v>413856216.03730011</v>
      </c>
      <c r="J5" s="210">
        <v>1481</v>
      </c>
      <c r="K5" s="172">
        <v>24593456.279217087</v>
      </c>
      <c r="L5" s="211">
        <v>432135696.46387804</v>
      </c>
      <c r="M5" s="210">
        <v>1104</v>
      </c>
      <c r="N5" s="172">
        <v>25144194.856050514</v>
      </c>
      <c r="O5" s="211">
        <v>460096256</v>
      </c>
      <c r="P5" s="210">
        <v>1319</v>
      </c>
      <c r="Q5" s="172">
        <v>28772324.068897907</v>
      </c>
      <c r="R5" s="211">
        <v>495950400.6046676</v>
      </c>
      <c r="S5" s="210">
        <v>1305</v>
      </c>
      <c r="T5" s="172">
        <v>16897165.915527027</v>
      </c>
      <c r="U5" s="211">
        <v>312536900.18044531</v>
      </c>
      <c r="V5" s="210">
        <v>1572.7934528195406</v>
      </c>
      <c r="W5" s="172">
        <v>20466210.836111896</v>
      </c>
      <c r="X5" s="211">
        <v>351644224.58784491</v>
      </c>
      <c r="Y5" s="210">
        <v>1525.5008384000037</v>
      </c>
      <c r="Z5" s="172">
        <v>21189275.509141121</v>
      </c>
      <c r="AA5" s="211">
        <v>367189088.62406027</v>
      </c>
      <c r="AB5" s="210">
        <v>3442.8895052857338</v>
      </c>
      <c r="AC5" s="172">
        <v>25637113.620025955</v>
      </c>
      <c r="AD5" s="211">
        <v>438005625.25729537</v>
      </c>
      <c r="AE5" s="210">
        <v>3497.2853376019066</v>
      </c>
      <c r="AF5" s="172">
        <v>26141086.443448868</v>
      </c>
      <c r="AG5" s="211">
        <v>446157055.68412453</v>
      </c>
      <c r="AH5" s="210">
        <v>3579.4810443539445</v>
      </c>
      <c r="AI5" s="172">
        <v>26725158.172317851</v>
      </c>
      <c r="AJ5" s="211">
        <v>455692696.79780704</v>
      </c>
      <c r="AK5" s="210">
        <v>3625.5706652410245</v>
      </c>
      <c r="AL5" s="172">
        <v>27132161.335764203</v>
      </c>
      <c r="AM5" s="211">
        <v>463531550.7337634</v>
      </c>
      <c r="AN5" s="210">
        <v>3698.082078545845</v>
      </c>
      <c r="AO5" s="172">
        <v>27674804.562479496</v>
      </c>
      <c r="AP5" s="211">
        <v>472802181.74843848</v>
      </c>
    </row>
    <row r="6" spans="2:42" x14ac:dyDescent="0.2">
      <c r="B6" s="170" t="s">
        <v>29</v>
      </c>
      <c r="C6" s="171" t="s">
        <v>21</v>
      </c>
      <c r="D6" s="210">
        <v>0</v>
      </c>
      <c r="E6" s="172">
        <v>0</v>
      </c>
      <c r="F6" s="211">
        <v>0</v>
      </c>
      <c r="G6" s="210">
        <v>0</v>
      </c>
      <c r="H6" s="172">
        <v>0</v>
      </c>
      <c r="I6" s="211">
        <v>0</v>
      </c>
      <c r="J6" s="210">
        <v>0</v>
      </c>
      <c r="K6" s="172">
        <v>0</v>
      </c>
      <c r="L6" s="211">
        <v>0</v>
      </c>
      <c r="M6" s="210">
        <v>0</v>
      </c>
      <c r="N6" s="172">
        <v>0</v>
      </c>
      <c r="O6" s="211">
        <v>0</v>
      </c>
      <c r="P6" s="210">
        <v>0</v>
      </c>
      <c r="Q6" s="172">
        <v>0</v>
      </c>
      <c r="R6" s="211">
        <v>0</v>
      </c>
      <c r="S6" s="210">
        <v>0</v>
      </c>
      <c r="T6" s="172">
        <v>0</v>
      </c>
      <c r="U6" s="211">
        <v>0</v>
      </c>
      <c r="V6" s="210">
        <v>0</v>
      </c>
      <c r="W6" s="172">
        <v>0</v>
      </c>
      <c r="X6" s="211">
        <v>0</v>
      </c>
      <c r="Y6" s="210">
        <v>0</v>
      </c>
      <c r="Z6" s="172">
        <v>0</v>
      </c>
      <c r="AA6" s="211">
        <v>0</v>
      </c>
      <c r="AB6" s="210">
        <v>0</v>
      </c>
      <c r="AC6" s="172">
        <v>0</v>
      </c>
      <c r="AD6" s="211">
        <v>0</v>
      </c>
      <c r="AE6" s="210">
        <v>0</v>
      </c>
      <c r="AF6" s="172">
        <v>0</v>
      </c>
      <c r="AG6" s="211">
        <v>0</v>
      </c>
      <c r="AH6" s="210">
        <v>0</v>
      </c>
      <c r="AI6" s="172">
        <v>0</v>
      </c>
      <c r="AJ6" s="211">
        <v>0</v>
      </c>
      <c r="AK6" s="210">
        <v>0</v>
      </c>
      <c r="AL6" s="172">
        <v>0</v>
      </c>
      <c r="AM6" s="211">
        <v>0</v>
      </c>
      <c r="AN6" s="210">
        <v>0</v>
      </c>
      <c r="AO6" s="172">
        <v>0</v>
      </c>
      <c r="AP6" s="211">
        <v>0</v>
      </c>
    </row>
    <row r="7" spans="2:42" x14ac:dyDescent="0.2">
      <c r="B7" s="170" t="s">
        <v>29</v>
      </c>
      <c r="C7" s="171" t="s">
        <v>22</v>
      </c>
      <c r="D7" s="210">
        <v>1</v>
      </c>
      <c r="E7" s="172">
        <v>0</v>
      </c>
      <c r="F7" s="211">
        <v>0</v>
      </c>
      <c r="G7" s="210">
        <v>1</v>
      </c>
      <c r="H7" s="172">
        <v>0</v>
      </c>
      <c r="I7" s="211">
        <v>0</v>
      </c>
      <c r="J7" s="210">
        <v>2</v>
      </c>
      <c r="K7" s="172">
        <v>0</v>
      </c>
      <c r="L7" s="211">
        <v>0</v>
      </c>
      <c r="M7" s="210">
        <v>1</v>
      </c>
      <c r="N7" s="172">
        <v>0</v>
      </c>
      <c r="O7" s="211">
        <v>0</v>
      </c>
      <c r="P7" s="210">
        <v>3</v>
      </c>
      <c r="Q7" s="172">
        <v>969652.42112452979</v>
      </c>
      <c r="R7" s="211">
        <v>19845881.879479617</v>
      </c>
      <c r="S7" s="210">
        <v>2</v>
      </c>
      <c r="T7" s="172">
        <v>309302.16863660997</v>
      </c>
      <c r="U7" s="211">
        <v>5067113.40681672</v>
      </c>
      <c r="V7" s="210">
        <v>4.1735998919144492</v>
      </c>
      <c r="W7" s="172">
        <v>589282.85376028589</v>
      </c>
      <c r="X7" s="211">
        <v>9614950.2110193465</v>
      </c>
      <c r="Y7" s="210">
        <v>4.3453980036244424</v>
      </c>
      <c r="Z7" s="172">
        <v>602656.7407057503</v>
      </c>
      <c r="AA7" s="211">
        <v>9837261.6797779277</v>
      </c>
      <c r="AB7" s="210">
        <v>8.2766131853564016</v>
      </c>
      <c r="AC7" s="172">
        <v>655763.21118203481</v>
      </c>
      <c r="AD7" s="211">
        <v>10118716.063303059</v>
      </c>
      <c r="AE7" s="210">
        <v>8.4308818342156773</v>
      </c>
      <c r="AF7" s="172">
        <v>668708.01662353694</v>
      </c>
      <c r="AG7" s="211">
        <v>10317887.783926181</v>
      </c>
      <c r="AH7" s="210">
        <v>8.5994994708999908</v>
      </c>
      <c r="AI7" s="172">
        <v>682082.17695600761</v>
      </c>
      <c r="AJ7" s="211">
        <v>10524245.539604703</v>
      </c>
      <c r="AK7" s="210">
        <v>8.7714894603179907</v>
      </c>
      <c r="AL7" s="172">
        <v>695723.8204951277</v>
      </c>
      <c r="AM7" s="211">
        <v>10734730.4503968</v>
      </c>
      <c r="AN7" s="210">
        <v>8.946919249524349</v>
      </c>
      <c r="AO7" s="172">
        <v>709638.29690503026</v>
      </c>
      <c r="AP7" s="211">
        <v>10949425.059404735</v>
      </c>
    </row>
    <row r="8" spans="2:42" x14ac:dyDescent="0.2">
      <c r="B8" s="170" t="s">
        <v>29</v>
      </c>
      <c r="C8" s="171" t="s">
        <v>23</v>
      </c>
      <c r="D8" s="210">
        <v>56</v>
      </c>
      <c r="E8" s="172">
        <v>5011186.3543120027</v>
      </c>
      <c r="F8" s="211">
        <v>81257329.038540006</v>
      </c>
      <c r="G8" s="210">
        <v>58</v>
      </c>
      <c r="H8" s="172">
        <v>3431226.1011269507</v>
      </c>
      <c r="I8" s="211">
        <v>57674859.75</v>
      </c>
      <c r="J8" s="210">
        <v>49</v>
      </c>
      <c r="K8" s="172">
        <v>5578857.5318140592</v>
      </c>
      <c r="L8" s="211">
        <v>81327617.548500001</v>
      </c>
      <c r="M8" s="210">
        <v>38</v>
      </c>
      <c r="N8" s="172">
        <v>2303477.6690984778</v>
      </c>
      <c r="O8" s="211">
        <v>37697726</v>
      </c>
      <c r="P8" s="210">
        <v>40</v>
      </c>
      <c r="Q8" s="172">
        <v>3843835.7373550055</v>
      </c>
      <c r="R8" s="211">
        <v>68730005.200287938</v>
      </c>
      <c r="S8" s="210">
        <v>46</v>
      </c>
      <c r="T8" s="172">
        <v>5748190.0094827814</v>
      </c>
      <c r="U8" s="211">
        <v>107906275.41371581</v>
      </c>
      <c r="V8" s="210">
        <v>38.865719591761646</v>
      </c>
      <c r="W8" s="172">
        <v>5463531.3749845363</v>
      </c>
      <c r="X8" s="211">
        <v>88952468.647112861</v>
      </c>
      <c r="Y8" s="210">
        <v>40.203428317238902</v>
      </c>
      <c r="Z8" s="172">
        <v>5583914.9707584083</v>
      </c>
      <c r="AA8" s="211">
        <v>90945910.275637284</v>
      </c>
      <c r="AB8" s="210">
        <v>84.694419329390158</v>
      </c>
      <c r="AC8" s="172">
        <v>6042036.8358882759</v>
      </c>
      <c r="AD8" s="211">
        <v>92951835.37198405</v>
      </c>
      <c r="AE8" s="210">
        <v>86.250169450041255</v>
      </c>
      <c r="AF8" s="172">
        <v>6161549.817387009</v>
      </c>
      <c r="AG8" s="211">
        <v>94786271.149048015</v>
      </c>
      <c r="AH8" s="210">
        <v>87.975172839042088</v>
      </c>
      <c r="AI8" s="172">
        <v>6284780.8137347493</v>
      </c>
      <c r="AJ8" s="211">
        <v>96681996.572028965</v>
      </c>
      <c r="AK8" s="210">
        <v>89.734676295822908</v>
      </c>
      <c r="AL8" s="172">
        <v>6410476.4300094442</v>
      </c>
      <c r="AM8" s="211">
        <v>98615636.503469571</v>
      </c>
      <c r="AN8" s="210">
        <v>91.529369821739351</v>
      </c>
      <c r="AO8" s="172">
        <v>6538685.9586096341</v>
      </c>
      <c r="AP8" s="211">
        <v>100587949.23353897</v>
      </c>
    </row>
    <row r="9" spans="2:42" x14ac:dyDescent="0.2">
      <c r="B9" s="170" t="s">
        <v>29</v>
      </c>
      <c r="C9" s="171" t="s">
        <v>24</v>
      </c>
      <c r="D9" s="210">
        <v>5</v>
      </c>
      <c r="E9" s="172">
        <v>4223477.7971080001</v>
      </c>
      <c r="F9" s="211">
        <v>30600665.208939992</v>
      </c>
      <c r="G9" s="210">
        <v>6</v>
      </c>
      <c r="H9" s="172">
        <v>1193952.17824355</v>
      </c>
      <c r="I9" s="211">
        <v>11841162</v>
      </c>
      <c r="J9" s="210">
        <v>7</v>
      </c>
      <c r="K9" s="172">
        <v>1934740.4195589793</v>
      </c>
      <c r="L9" s="211">
        <v>23224652</v>
      </c>
      <c r="M9" s="210">
        <v>6</v>
      </c>
      <c r="N9" s="172">
        <v>1001499.8258619298</v>
      </c>
      <c r="O9" s="211">
        <v>18018625</v>
      </c>
      <c r="P9" s="210">
        <v>6</v>
      </c>
      <c r="Q9" s="172">
        <v>4823891.4790201997</v>
      </c>
      <c r="R9" s="211">
        <v>96947274.387280867</v>
      </c>
      <c r="S9" s="210">
        <v>5</v>
      </c>
      <c r="T9" s="172">
        <v>2139955.0508103184</v>
      </c>
      <c r="U9" s="211">
        <v>40772570.314869024</v>
      </c>
      <c r="V9" s="210">
        <v>19.918176845644716</v>
      </c>
      <c r="W9" s="172">
        <v>3781492.3611585749</v>
      </c>
      <c r="X9" s="211">
        <v>61312708.641601175</v>
      </c>
      <c r="Y9" s="210">
        <v>20.447892135192113</v>
      </c>
      <c r="Z9" s="172">
        <v>3860233.4003911177</v>
      </c>
      <c r="AA9" s="211">
        <v>62594153.591008127</v>
      </c>
      <c r="AB9" s="210">
        <v>43.749610149140608</v>
      </c>
      <c r="AC9" s="172">
        <v>4132212.3654388976</v>
      </c>
      <c r="AD9" s="211">
        <v>63034776.872773692</v>
      </c>
      <c r="AE9" s="210">
        <v>44.598222507348694</v>
      </c>
      <c r="AF9" s="172">
        <v>4214665.5907747559</v>
      </c>
      <c r="AG9" s="211">
        <v>64291883.46581921</v>
      </c>
      <c r="AH9" s="210">
        <v>45.490186957495666</v>
      </c>
      <c r="AI9" s="172">
        <v>4298958.9025902515</v>
      </c>
      <c r="AJ9" s="211">
        <v>65577721.135135569</v>
      </c>
      <c r="AK9" s="210">
        <v>46.399990696645574</v>
      </c>
      <c r="AL9" s="172">
        <v>4384938.0806420567</v>
      </c>
      <c r="AM9" s="211">
        <v>66889275.557838291</v>
      </c>
      <c r="AN9" s="210">
        <v>47.327990510578481</v>
      </c>
      <c r="AO9" s="172">
        <v>4472636.8422548976</v>
      </c>
      <c r="AP9" s="211">
        <v>68227061.068995059</v>
      </c>
    </row>
    <row r="10" spans="2:42" x14ac:dyDescent="0.2">
      <c r="B10" s="170" t="s">
        <v>29</v>
      </c>
      <c r="C10" s="171" t="s">
        <v>36</v>
      </c>
      <c r="D10" s="210">
        <v>0</v>
      </c>
      <c r="E10" s="172">
        <v>0</v>
      </c>
      <c r="F10" s="211">
        <v>0</v>
      </c>
      <c r="G10" s="210">
        <v>0</v>
      </c>
      <c r="H10" s="172">
        <v>0</v>
      </c>
      <c r="I10" s="211">
        <v>0</v>
      </c>
      <c r="J10" s="210">
        <v>0</v>
      </c>
      <c r="K10" s="172">
        <v>0</v>
      </c>
      <c r="L10" s="211">
        <v>0</v>
      </c>
      <c r="M10" s="210">
        <v>0</v>
      </c>
      <c r="N10" s="172">
        <v>0</v>
      </c>
      <c r="O10" s="211">
        <v>0</v>
      </c>
      <c r="P10" s="210">
        <v>0</v>
      </c>
      <c r="Q10" s="172">
        <v>0</v>
      </c>
      <c r="R10" s="211">
        <v>0</v>
      </c>
      <c r="S10" s="210">
        <v>0</v>
      </c>
      <c r="T10" s="172">
        <v>0</v>
      </c>
      <c r="U10" s="211">
        <v>0</v>
      </c>
      <c r="V10" s="210">
        <v>0</v>
      </c>
      <c r="W10" s="172">
        <v>0</v>
      </c>
      <c r="X10" s="211">
        <v>0</v>
      </c>
      <c r="Y10" s="210">
        <v>0</v>
      </c>
      <c r="Z10" s="172">
        <v>0</v>
      </c>
      <c r="AA10" s="211">
        <v>0</v>
      </c>
      <c r="AB10" s="210">
        <v>0</v>
      </c>
      <c r="AC10" s="172">
        <v>0</v>
      </c>
      <c r="AD10" s="211">
        <v>0</v>
      </c>
      <c r="AE10" s="210">
        <v>0</v>
      </c>
      <c r="AF10" s="172">
        <v>0</v>
      </c>
      <c r="AG10" s="211">
        <v>0</v>
      </c>
      <c r="AH10" s="210">
        <v>0</v>
      </c>
      <c r="AI10" s="172">
        <v>0</v>
      </c>
      <c r="AJ10" s="211">
        <v>0</v>
      </c>
      <c r="AK10" s="210">
        <v>0</v>
      </c>
      <c r="AL10" s="172">
        <v>0</v>
      </c>
      <c r="AM10" s="211">
        <v>0</v>
      </c>
      <c r="AN10" s="210">
        <v>0</v>
      </c>
      <c r="AO10" s="172">
        <v>0</v>
      </c>
      <c r="AP10" s="211">
        <v>0</v>
      </c>
    </row>
    <row r="11" spans="2:42" x14ac:dyDescent="0.2">
      <c r="B11" s="170" t="s">
        <v>29</v>
      </c>
      <c r="C11" s="171" t="s">
        <v>25</v>
      </c>
      <c r="D11" s="210">
        <v>3</v>
      </c>
      <c r="E11" s="172">
        <v>159609.21789999999</v>
      </c>
      <c r="F11" s="211">
        <v>3060527.9045000002</v>
      </c>
      <c r="G11" s="210">
        <v>5</v>
      </c>
      <c r="H11" s="172">
        <v>152690.55204094999</v>
      </c>
      <c r="I11" s="211">
        <v>3053811</v>
      </c>
      <c r="J11" s="210">
        <v>8</v>
      </c>
      <c r="K11" s="172">
        <v>1468951.4599448994</v>
      </c>
      <c r="L11" s="211">
        <v>26940684</v>
      </c>
      <c r="M11" s="210">
        <v>10</v>
      </c>
      <c r="N11" s="172">
        <v>1817062.6224384799</v>
      </c>
      <c r="O11" s="211">
        <v>30852172</v>
      </c>
      <c r="P11" s="210">
        <v>8</v>
      </c>
      <c r="Q11" s="172">
        <v>1007998.4030504697</v>
      </c>
      <c r="R11" s="211">
        <v>20037306.388563357</v>
      </c>
      <c r="S11" s="210">
        <v>15</v>
      </c>
      <c r="T11" s="172">
        <v>2628877.9562150291</v>
      </c>
      <c r="U11" s="211">
        <v>48783231.547034942</v>
      </c>
      <c r="V11" s="210">
        <v>12.634224373588998</v>
      </c>
      <c r="W11" s="172">
        <v>2587277.7732084193</v>
      </c>
      <c r="X11" s="211">
        <v>41893750.248532355</v>
      </c>
      <c r="Y11" s="210">
        <v>12.913742611942739</v>
      </c>
      <c r="Z11" s="172">
        <v>2640126.9755494148</v>
      </c>
      <c r="AA11" s="211">
        <v>42749495.737723589</v>
      </c>
      <c r="AB11" s="210">
        <v>28.577944689286266</v>
      </c>
      <c r="AC11" s="172">
        <v>2816252.3174046446</v>
      </c>
      <c r="AD11" s="211">
        <v>42853294.352004699</v>
      </c>
      <c r="AE11" s="210">
        <v>29.138099238947159</v>
      </c>
      <c r="AF11" s="172">
        <v>2872577.3637527376</v>
      </c>
      <c r="AG11" s="211">
        <v>43710360.239044793</v>
      </c>
      <c r="AH11" s="210">
        <v>29.720861223726104</v>
      </c>
      <c r="AI11" s="172">
        <v>2930028.9110277919</v>
      </c>
      <c r="AJ11" s="211">
        <v>44584567.443825684</v>
      </c>
      <c r="AK11" s="210">
        <v>30.315278448200626</v>
      </c>
      <c r="AL11" s="172">
        <v>2988629.4892483479</v>
      </c>
      <c r="AM11" s="211">
        <v>45476258.792702205</v>
      </c>
      <c r="AN11" s="210">
        <v>30.921584017164633</v>
      </c>
      <c r="AO11" s="172">
        <v>3048402.0790333152</v>
      </c>
      <c r="AP11" s="211">
        <v>46385783.968556248</v>
      </c>
    </row>
    <row r="12" spans="2:42" x14ac:dyDescent="0.2">
      <c r="B12" s="170" t="s">
        <v>29</v>
      </c>
      <c r="C12" s="171" t="s">
        <v>26</v>
      </c>
      <c r="D12" s="210">
        <v>2</v>
      </c>
      <c r="E12" s="172">
        <v>768863.96946800011</v>
      </c>
      <c r="F12" s="211">
        <v>7736047.3705400005</v>
      </c>
      <c r="G12" s="210">
        <v>1</v>
      </c>
      <c r="H12" s="172">
        <v>73704.541566150001</v>
      </c>
      <c r="I12" s="211">
        <v>442227</v>
      </c>
      <c r="J12" s="210">
        <v>2</v>
      </c>
      <c r="K12" s="172">
        <v>17016.678731920001</v>
      </c>
      <c r="L12" s="211">
        <v>241448</v>
      </c>
      <c r="M12" s="210">
        <v>2</v>
      </c>
      <c r="N12" s="172">
        <v>1201214.4868226782</v>
      </c>
      <c r="O12" s="211">
        <v>29788545</v>
      </c>
      <c r="P12" s="210">
        <v>1</v>
      </c>
      <c r="Q12" s="172">
        <v>0</v>
      </c>
      <c r="R12" s="211">
        <v>0</v>
      </c>
      <c r="S12" s="210">
        <v>1</v>
      </c>
      <c r="T12" s="172">
        <v>0</v>
      </c>
      <c r="U12" s="211">
        <v>0</v>
      </c>
      <c r="V12" s="210">
        <v>0.56586433928628488</v>
      </c>
      <c r="W12" s="172">
        <v>6984.529819266405</v>
      </c>
      <c r="X12" s="211">
        <v>123530.28782547</v>
      </c>
      <c r="Y12" s="210">
        <v>0.58800038076973526</v>
      </c>
      <c r="Z12" s="172">
        <v>7340.6089664153478</v>
      </c>
      <c r="AA12" s="211">
        <v>130457.58471539075</v>
      </c>
      <c r="AB12" s="210">
        <v>1.6224339763466005</v>
      </c>
      <c r="AC12" s="172">
        <v>9251.2786237259752</v>
      </c>
      <c r="AD12" s="211">
        <v>167828.80945264845</v>
      </c>
      <c r="AE12" s="210">
        <v>1.6478443559724898</v>
      </c>
      <c r="AF12" s="172">
        <v>9396.171115673842</v>
      </c>
      <c r="AG12" s="211">
        <v>170457.32551094485</v>
      </c>
      <c r="AH12" s="210">
        <v>1.6808012430919395</v>
      </c>
      <c r="AI12" s="172">
        <v>9584.094537987321</v>
      </c>
      <c r="AJ12" s="211">
        <v>173866.47202116376</v>
      </c>
      <c r="AK12" s="210">
        <v>1.7144172679537784</v>
      </c>
      <c r="AL12" s="172">
        <v>9775.7764287470673</v>
      </c>
      <c r="AM12" s="211">
        <v>177343.80146158705</v>
      </c>
      <c r="AN12" s="210">
        <v>1.7487056133128545</v>
      </c>
      <c r="AO12" s="172">
        <v>9971.2919573220097</v>
      </c>
      <c r="AP12" s="211">
        <v>180890.67749081881</v>
      </c>
    </row>
    <row r="13" spans="2:42" x14ac:dyDescent="0.2">
      <c r="B13" s="170" t="s">
        <v>29</v>
      </c>
      <c r="C13" s="171" t="s">
        <v>27</v>
      </c>
      <c r="D13" s="210">
        <v>6</v>
      </c>
      <c r="E13" s="172">
        <v>1052867.3978800001</v>
      </c>
      <c r="F13" s="211">
        <v>20189471.4135</v>
      </c>
      <c r="G13" s="210">
        <v>7</v>
      </c>
      <c r="H13" s="172">
        <v>3093289.8695896999</v>
      </c>
      <c r="I13" s="211">
        <v>46367361</v>
      </c>
      <c r="J13" s="210">
        <v>5</v>
      </c>
      <c r="K13" s="172">
        <v>939121.93299264996</v>
      </c>
      <c r="L13" s="211">
        <v>11721782</v>
      </c>
      <c r="M13" s="210">
        <v>1</v>
      </c>
      <c r="N13" s="172">
        <v>855513.07278043986</v>
      </c>
      <c r="O13" s="211">
        <v>13761541</v>
      </c>
      <c r="P13" s="210">
        <v>3</v>
      </c>
      <c r="Q13" s="172">
        <v>440376.38385334995</v>
      </c>
      <c r="R13" s="211">
        <v>3837699.0063386802</v>
      </c>
      <c r="S13" s="210">
        <v>4</v>
      </c>
      <c r="T13" s="172">
        <v>631905.69891927997</v>
      </c>
      <c r="U13" s="211">
        <v>8430540.1805062201</v>
      </c>
      <c r="V13" s="210">
        <v>12.80982068102248</v>
      </c>
      <c r="W13" s="172">
        <v>839405.68072435725</v>
      </c>
      <c r="X13" s="211">
        <v>14014324.47968751</v>
      </c>
      <c r="Y13" s="210">
        <v>13.546050693896348</v>
      </c>
      <c r="Z13" s="172">
        <v>864352.65021255135</v>
      </c>
      <c r="AA13" s="211">
        <v>14452730.311960714</v>
      </c>
      <c r="AB13" s="210">
        <v>24.051343403891249</v>
      </c>
      <c r="AC13" s="172">
        <v>995045.56988455018</v>
      </c>
      <c r="AD13" s="211">
        <v>15976416.018671434</v>
      </c>
      <c r="AE13" s="210">
        <v>24.458220698476104</v>
      </c>
      <c r="AF13" s="172">
        <v>1013906.1483680058</v>
      </c>
      <c r="AG13" s="211">
        <v>16276490.223182546</v>
      </c>
      <c r="AH13" s="210">
        <v>24.947385112445623</v>
      </c>
      <c r="AI13" s="172">
        <v>1034184.2713353657</v>
      </c>
      <c r="AJ13" s="211">
        <v>16602020.027646195</v>
      </c>
      <c r="AK13" s="210">
        <v>25.446332814694539</v>
      </c>
      <c r="AL13" s="172">
        <v>1054867.9567620731</v>
      </c>
      <c r="AM13" s="211">
        <v>16934060.428199124</v>
      </c>
      <c r="AN13" s="210">
        <v>25.95525947098843</v>
      </c>
      <c r="AO13" s="172">
        <v>1075965.3158973146</v>
      </c>
      <c r="AP13" s="211">
        <v>17272741.636763103</v>
      </c>
    </row>
    <row r="14" spans="2:42" x14ac:dyDescent="0.2">
      <c r="B14" s="170" t="s">
        <v>29</v>
      </c>
      <c r="C14" s="171" t="s">
        <v>37</v>
      </c>
      <c r="D14" s="210">
        <v>0</v>
      </c>
      <c r="E14" s="172">
        <v>0</v>
      </c>
      <c r="F14" s="211">
        <v>0</v>
      </c>
      <c r="G14" s="210">
        <v>0</v>
      </c>
      <c r="H14" s="172">
        <v>0</v>
      </c>
      <c r="I14" s="211">
        <v>0</v>
      </c>
      <c r="J14" s="210">
        <v>0</v>
      </c>
      <c r="K14" s="172">
        <v>0</v>
      </c>
      <c r="L14" s="211">
        <v>0</v>
      </c>
      <c r="M14" s="210">
        <v>0</v>
      </c>
      <c r="N14" s="172">
        <v>0</v>
      </c>
      <c r="O14" s="211">
        <v>0</v>
      </c>
      <c r="P14" s="210">
        <v>0</v>
      </c>
      <c r="Q14" s="172">
        <v>0</v>
      </c>
      <c r="R14" s="211">
        <v>0</v>
      </c>
      <c r="S14" s="210">
        <v>0</v>
      </c>
      <c r="T14" s="172">
        <v>0</v>
      </c>
      <c r="U14" s="211">
        <v>0</v>
      </c>
      <c r="V14" s="210">
        <v>0</v>
      </c>
      <c r="W14" s="172">
        <v>0</v>
      </c>
      <c r="X14" s="211">
        <v>0</v>
      </c>
      <c r="Y14" s="210">
        <v>0</v>
      </c>
      <c r="Z14" s="172">
        <v>0</v>
      </c>
      <c r="AA14" s="211">
        <v>0</v>
      </c>
      <c r="AB14" s="210">
        <v>0</v>
      </c>
      <c r="AC14" s="172">
        <v>0</v>
      </c>
      <c r="AD14" s="211">
        <v>0</v>
      </c>
      <c r="AE14" s="210">
        <v>0</v>
      </c>
      <c r="AF14" s="172">
        <v>0</v>
      </c>
      <c r="AG14" s="211">
        <v>0</v>
      </c>
      <c r="AH14" s="210">
        <v>0</v>
      </c>
      <c r="AI14" s="172">
        <v>0</v>
      </c>
      <c r="AJ14" s="211">
        <v>0</v>
      </c>
      <c r="AK14" s="210">
        <v>0</v>
      </c>
      <c r="AL14" s="172">
        <v>0</v>
      </c>
      <c r="AM14" s="211">
        <v>0</v>
      </c>
      <c r="AN14" s="210">
        <v>0</v>
      </c>
      <c r="AO14" s="172">
        <v>0</v>
      </c>
      <c r="AP14" s="211">
        <v>0</v>
      </c>
    </row>
    <row r="15" spans="2:42" x14ac:dyDescent="0.2">
      <c r="B15" s="170" t="s">
        <v>29</v>
      </c>
      <c r="C15" s="171" t="s">
        <v>38</v>
      </c>
      <c r="D15" s="210">
        <v>0</v>
      </c>
      <c r="E15" s="172">
        <v>0</v>
      </c>
      <c r="F15" s="211">
        <v>0</v>
      </c>
      <c r="G15" s="210">
        <v>0</v>
      </c>
      <c r="H15" s="172">
        <v>0</v>
      </c>
      <c r="I15" s="211">
        <v>0</v>
      </c>
      <c r="J15" s="210">
        <v>0</v>
      </c>
      <c r="K15" s="172">
        <v>0</v>
      </c>
      <c r="L15" s="211">
        <v>0</v>
      </c>
      <c r="M15" s="210">
        <v>0</v>
      </c>
      <c r="N15" s="172">
        <v>0</v>
      </c>
      <c r="O15" s="211">
        <v>0</v>
      </c>
      <c r="P15" s="210">
        <v>0</v>
      </c>
      <c r="Q15" s="172">
        <v>0</v>
      </c>
      <c r="R15" s="211">
        <v>0</v>
      </c>
      <c r="S15" s="210">
        <v>0</v>
      </c>
      <c r="T15" s="172">
        <v>0</v>
      </c>
      <c r="U15" s="211">
        <v>0</v>
      </c>
      <c r="V15" s="210">
        <v>0</v>
      </c>
      <c r="W15" s="172">
        <v>0</v>
      </c>
      <c r="X15" s="211">
        <v>0</v>
      </c>
      <c r="Y15" s="210">
        <v>0</v>
      </c>
      <c r="Z15" s="172">
        <v>0</v>
      </c>
      <c r="AA15" s="211">
        <v>0</v>
      </c>
      <c r="AB15" s="210">
        <v>0</v>
      </c>
      <c r="AC15" s="172">
        <v>0</v>
      </c>
      <c r="AD15" s="211">
        <v>0</v>
      </c>
      <c r="AE15" s="210">
        <v>0</v>
      </c>
      <c r="AF15" s="172">
        <v>0</v>
      </c>
      <c r="AG15" s="211">
        <v>0</v>
      </c>
      <c r="AH15" s="210">
        <v>0</v>
      </c>
      <c r="AI15" s="172">
        <v>0</v>
      </c>
      <c r="AJ15" s="211">
        <v>0</v>
      </c>
      <c r="AK15" s="210">
        <v>0</v>
      </c>
      <c r="AL15" s="172">
        <v>0</v>
      </c>
      <c r="AM15" s="211">
        <v>0</v>
      </c>
      <c r="AN15" s="210">
        <v>0</v>
      </c>
      <c r="AO15" s="172">
        <v>0</v>
      </c>
      <c r="AP15" s="211">
        <v>0</v>
      </c>
    </row>
    <row r="16" spans="2:42" x14ac:dyDescent="0.2">
      <c r="B16" s="290" t="s">
        <v>305</v>
      </c>
      <c r="C16" s="291"/>
      <c r="D16" s="212">
        <f t="shared" ref="D16:U16" si="0">SUM(D4:D15)</f>
        <v>9053</v>
      </c>
      <c r="E16" s="176">
        <f t="shared" si="0"/>
        <v>48971556.011983536</v>
      </c>
      <c r="F16" s="213">
        <f t="shared" si="0"/>
        <v>826165450.56942821</v>
      </c>
      <c r="G16" s="212">
        <f t="shared" si="0"/>
        <v>32705</v>
      </c>
      <c r="H16" s="176">
        <f t="shared" si="0"/>
        <v>50523588.561411157</v>
      </c>
      <c r="I16" s="213">
        <f t="shared" si="0"/>
        <v>837114041.56730008</v>
      </c>
      <c r="J16" s="212">
        <f t="shared" si="0"/>
        <v>28230</v>
      </c>
      <c r="K16" s="176">
        <f t="shared" si="0"/>
        <v>44016674.041441679</v>
      </c>
      <c r="L16" s="213">
        <f t="shared" si="0"/>
        <v>787171329.29219007</v>
      </c>
      <c r="M16" s="212">
        <f t="shared" si="0"/>
        <v>33091</v>
      </c>
      <c r="N16" s="176">
        <f t="shared" si="0"/>
        <v>42226604.697338969</v>
      </c>
      <c r="O16" s="213">
        <f t="shared" si="0"/>
        <v>807474357</v>
      </c>
      <c r="P16" s="212">
        <f t="shared" si="0"/>
        <v>35528</v>
      </c>
      <c r="Q16" s="176">
        <f t="shared" si="0"/>
        <v>52260725.619064637</v>
      </c>
      <c r="R16" s="213">
        <f t="shared" si="0"/>
        <v>988545150.55376923</v>
      </c>
      <c r="S16" s="212">
        <f t="shared" si="0"/>
        <v>40149</v>
      </c>
      <c r="T16" s="176">
        <f t="shared" si="0"/>
        <v>39750694.827102326</v>
      </c>
      <c r="U16" s="213">
        <f t="shared" si="0"/>
        <v>771050466.4575659</v>
      </c>
      <c r="V16" s="212">
        <v>41438.537112498998</v>
      </c>
      <c r="W16" s="176">
        <v>46755043.086165823</v>
      </c>
      <c r="X16" s="213">
        <v>854061117.26959383</v>
      </c>
      <c r="Y16" s="212">
        <v>33975.418778271087</v>
      </c>
      <c r="Z16" s="176">
        <v>46173065.988809258</v>
      </c>
      <c r="AA16" s="213">
        <v>839570415.79778171</v>
      </c>
      <c r="AB16" s="212">
        <v>40966.426299788509</v>
      </c>
      <c r="AC16" s="176">
        <v>50526910.711898789</v>
      </c>
      <c r="AD16" s="213">
        <v>879882759.84080195</v>
      </c>
      <c r="AE16" s="212">
        <v>41892.130533205804</v>
      </c>
      <c r="AF16" s="176">
        <v>51557856.66407083</v>
      </c>
      <c r="AG16" s="213">
        <v>897488375.82217383</v>
      </c>
      <c r="AH16" s="212">
        <v>42742.223143869931</v>
      </c>
      <c r="AI16" s="176">
        <v>52650263.797352254</v>
      </c>
      <c r="AJ16" s="213">
        <v>916050643.33861732</v>
      </c>
      <c r="AK16" s="212">
        <v>43571.567606747332</v>
      </c>
      <c r="AL16" s="176">
        <v>53575769.073299304</v>
      </c>
      <c r="AM16" s="213">
        <v>933096656.20538998</v>
      </c>
      <c r="AN16" s="212">
        <v>44442.998958882286</v>
      </c>
      <c r="AO16" s="176">
        <v>54647284.454765297</v>
      </c>
      <c r="AP16" s="213">
        <v>951758589.32949758</v>
      </c>
    </row>
    <row r="17" spans="2:42" x14ac:dyDescent="0.2">
      <c r="B17" s="177" t="s">
        <v>30</v>
      </c>
      <c r="C17" s="178" t="s">
        <v>31</v>
      </c>
      <c r="D17" s="214">
        <v>22698</v>
      </c>
      <c r="E17" s="179">
        <v>8920216.0494326707</v>
      </c>
      <c r="F17" s="215">
        <v>165934100.96266508</v>
      </c>
      <c r="G17" s="214">
        <v>8043</v>
      </c>
      <c r="H17" s="179">
        <v>8761471.4060836099</v>
      </c>
      <c r="I17" s="215">
        <v>199525829.04737711</v>
      </c>
      <c r="J17" s="214">
        <v>14313</v>
      </c>
      <c r="K17" s="179">
        <v>12694912.889128666</v>
      </c>
      <c r="L17" s="215">
        <v>285003162.93205047</v>
      </c>
      <c r="M17" s="214">
        <v>16422</v>
      </c>
      <c r="N17" s="179">
        <v>14040628.223944491</v>
      </c>
      <c r="O17" s="215">
        <v>313088818.09265506</v>
      </c>
      <c r="P17" s="214">
        <v>16484</v>
      </c>
      <c r="Q17" s="179">
        <v>13768499.130094416</v>
      </c>
      <c r="R17" s="215">
        <v>284194386.69842398</v>
      </c>
      <c r="S17" s="214">
        <v>16933</v>
      </c>
      <c r="T17" s="179">
        <v>7946516.6338182604</v>
      </c>
      <c r="U17" s="215">
        <v>174510196.05803961</v>
      </c>
      <c r="V17" s="214">
        <v>23774.075672172454</v>
      </c>
      <c r="W17" s="179">
        <v>10044820.50091742</v>
      </c>
      <c r="X17" s="215">
        <v>208687689.30645022</v>
      </c>
      <c r="Y17" s="214">
        <v>19405.801838019604</v>
      </c>
      <c r="Z17" s="179">
        <v>9077192.1552224923</v>
      </c>
      <c r="AA17" s="215">
        <v>187965095.63837048</v>
      </c>
      <c r="AB17" s="214">
        <v>22796.422210393735</v>
      </c>
      <c r="AC17" s="179">
        <v>8245274.498843682</v>
      </c>
      <c r="AD17" s="215">
        <v>164309487.93240917</v>
      </c>
      <c r="AE17" s="214">
        <v>23318.76961312908</v>
      </c>
      <c r="AF17" s="179">
        <v>8449847.2704614848</v>
      </c>
      <c r="AG17" s="215">
        <v>168182251.41763759</v>
      </c>
      <c r="AH17" s="214">
        <v>23790.398326074777</v>
      </c>
      <c r="AI17" s="179">
        <v>8645110.8192862738</v>
      </c>
      <c r="AJ17" s="215">
        <v>171808562.48014605</v>
      </c>
      <c r="AK17" s="214">
        <v>24255.270808725305</v>
      </c>
      <c r="AL17" s="179">
        <v>8763335.6163171567</v>
      </c>
      <c r="AM17" s="215">
        <v>174697959.53620046</v>
      </c>
      <c r="AN17" s="214">
        <v>24740.37622489981</v>
      </c>
      <c r="AO17" s="179">
        <v>8938602.3286435064</v>
      </c>
      <c r="AP17" s="215">
        <v>178191918.7269246</v>
      </c>
    </row>
    <row r="18" spans="2:42" x14ac:dyDescent="0.2">
      <c r="B18" s="170" t="s">
        <v>30</v>
      </c>
      <c r="C18" s="171" t="s">
        <v>32</v>
      </c>
      <c r="D18" s="210">
        <v>376</v>
      </c>
      <c r="E18" s="172">
        <v>12832957.091050427</v>
      </c>
      <c r="F18" s="211">
        <v>236620316.29620439</v>
      </c>
      <c r="G18" s="210">
        <v>335</v>
      </c>
      <c r="H18" s="172">
        <v>9197168.2560434341</v>
      </c>
      <c r="I18" s="211">
        <v>174266014.08640191</v>
      </c>
      <c r="J18" s="210">
        <v>344</v>
      </c>
      <c r="K18" s="172">
        <v>9376092.3715119176</v>
      </c>
      <c r="L18" s="211">
        <v>157961342.7053349</v>
      </c>
      <c r="M18" s="210">
        <v>321</v>
      </c>
      <c r="N18" s="172">
        <v>9105915.9220322389</v>
      </c>
      <c r="O18" s="211">
        <v>156974059.09985092</v>
      </c>
      <c r="P18" s="210">
        <v>287</v>
      </c>
      <c r="Q18" s="172">
        <v>9668000.4201939646</v>
      </c>
      <c r="R18" s="211">
        <v>166165256.70142752</v>
      </c>
      <c r="S18" s="210">
        <v>333</v>
      </c>
      <c r="T18" s="172">
        <v>3866165.3772930941</v>
      </c>
      <c r="U18" s="211">
        <v>64600761.400343247</v>
      </c>
      <c r="V18" s="210">
        <v>257.97929487517752</v>
      </c>
      <c r="W18" s="172">
        <v>6893621.3574306387</v>
      </c>
      <c r="X18" s="211">
        <v>111923626.35193613</v>
      </c>
      <c r="Y18" s="210">
        <v>246.89662416714242</v>
      </c>
      <c r="Z18" s="172">
        <v>7031062.5538978931</v>
      </c>
      <c r="AA18" s="211">
        <v>114745147.21012948</v>
      </c>
      <c r="AB18" s="210">
        <v>697.50851455921054</v>
      </c>
      <c r="AC18" s="172">
        <v>7291043.652536789</v>
      </c>
      <c r="AD18" s="211">
        <v>113940305.64317378</v>
      </c>
      <c r="AE18" s="210">
        <v>708.72142323725109</v>
      </c>
      <c r="AF18" s="172">
        <v>7449138.2378389519</v>
      </c>
      <c r="AG18" s="211">
        <v>116314754.38251381</v>
      </c>
      <c r="AH18" s="210">
        <v>726.45230331489961</v>
      </c>
      <c r="AI18" s="172">
        <v>7615903.2606602469</v>
      </c>
      <c r="AJ18" s="211">
        <v>118818872.05080925</v>
      </c>
      <c r="AK18" s="210">
        <v>733.57812357474597</v>
      </c>
      <c r="AL18" s="172">
        <v>7731205.1968411962</v>
      </c>
      <c r="AM18" s="211">
        <v>120825088.20150289</v>
      </c>
      <c r="AN18" s="210">
        <v>748.24968604624087</v>
      </c>
      <c r="AO18" s="172">
        <v>7885829.3007780192</v>
      </c>
      <c r="AP18" s="211">
        <v>123241589.96553291</v>
      </c>
    </row>
    <row r="19" spans="2:42" x14ac:dyDescent="0.2">
      <c r="B19" s="170" t="s">
        <v>30</v>
      </c>
      <c r="C19" s="171" t="s">
        <v>306</v>
      </c>
      <c r="D19" s="210">
        <v>77</v>
      </c>
      <c r="E19" s="172">
        <v>12055087.383806733</v>
      </c>
      <c r="F19" s="211">
        <v>185194844.3982234</v>
      </c>
      <c r="G19" s="210">
        <v>60</v>
      </c>
      <c r="H19" s="172">
        <v>7200772.2742760405</v>
      </c>
      <c r="I19" s="211">
        <v>122125573.15008654</v>
      </c>
      <c r="J19" s="210">
        <v>83</v>
      </c>
      <c r="K19" s="172">
        <v>19309734.696423158</v>
      </c>
      <c r="L19" s="211">
        <v>294502187.38186538</v>
      </c>
      <c r="M19" s="210">
        <v>68</v>
      </c>
      <c r="N19" s="172">
        <v>19330137.076441474</v>
      </c>
      <c r="O19" s="211">
        <v>295001218.2484675</v>
      </c>
      <c r="P19" s="210">
        <v>63</v>
      </c>
      <c r="Q19" s="172">
        <v>13188052.245771272</v>
      </c>
      <c r="R19" s="211">
        <v>207700554.92257077</v>
      </c>
      <c r="S19" s="210">
        <v>43</v>
      </c>
      <c r="T19" s="172">
        <v>12704087.888252834</v>
      </c>
      <c r="U19" s="211">
        <v>186878841.32692122</v>
      </c>
      <c r="V19" s="210">
        <v>115.43277661039176</v>
      </c>
      <c r="W19" s="172">
        <v>8393730.2066421844</v>
      </c>
      <c r="X19" s="211">
        <v>140310103.03921342</v>
      </c>
      <c r="Y19" s="210">
        <v>122.50642026821288</v>
      </c>
      <c r="Z19" s="172">
        <v>8649900.7336285636</v>
      </c>
      <c r="AA19" s="211">
        <v>144827254.14823884</v>
      </c>
      <c r="AB19" s="210">
        <v>200.77268926545264</v>
      </c>
      <c r="AC19" s="172">
        <v>9893419.5729791429</v>
      </c>
      <c r="AD19" s="211">
        <v>158723898.10590094</v>
      </c>
      <c r="AE19" s="210">
        <v>204.24251013753843</v>
      </c>
      <c r="AF19" s="172">
        <v>10082087.861003542</v>
      </c>
      <c r="AG19" s="211">
        <v>161725740.34048167</v>
      </c>
      <c r="AH19" s="210">
        <v>208.32736034028926</v>
      </c>
      <c r="AI19" s="172">
        <v>10283729.618223613</v>
      </c>
      <c r="AJ19" s="211">
        <v>164960255.14729127</v>
      </c>
      <c r="AK19" s="210">
        <v>212.49390754709503</v>
      </c>
      <c r="AL19" s="172">
        <v>10489404.210588086</v>
      </c>
      <c r="AM19" s="211">
        <v>168259460.25023714</v>
      </c>
      <c r="AN19" s="210">
        <v>216.7437856980369</v>
      </c>
      <c r="AO19" s="172">
        <v>10699192.294799849</v>
      </c>
      <c r="AP19" s="211">
        <v>171624649.45524189</v>
      </c>
    </row>
    <row r="20" spans="2:42" x14ac:dyDescent="0.2">
      <c r="B20" s="170" t="s">
        <v>30</v>
      </c>
      <c r="C20" s="171" t="s">
        <v>307</v>
      </c>
      <c r="D20" s="210">
        <v>21</v>
      </c>
      <c r="E20" s="172">
        <v>3743002.3141208063</v>
      </c>
      <c r="F20" s="211">
        <v>48893546.867385767</v>
      </c>
      <c r="G20" s="210">
        <v>15</v>
      </c>
      <c r="H20" s="172">
        <v>6786058.0695370706</v>
      </c>
      <c r="I20" s="211">
        <v>101043051.05695158</v>
      </c>
      <c r="J20" s="210">
        <v>13</v>
      </c>
      <c r="K20" s="172">
        <v>3585246.9675994208</v>
      </c>
      <c r="L20" s="211">
        <v>51958885.203171328</v>
      </c>
      <c r="M20" s="210">
        <v>11</v>
      </c>
      <c r="N20" s="172">
        <v>712452.17130959826</v>
      </c>
      <c r="O20" s="211">
        <v>7379848.3732739985</v>
      </c>
      <c r="P20" s="210">
        <v>12</v>
      </c>
      <c r="Q20" s="172">
        <v>648119.33282890008</v>
      </c>
      <c r="R20" s="211">
        <v>8950740.8448413704</v>
      </c>
      <c r="S20" s="210">
        <v>8</v>
      </c>
      <c r="T20" s="172">
        <v>88110.948383880008</v>
      </c>
      <c r="U20" s="211">
        <v>1190528.8714591202</v>
      </c>
      <c r="V20" s="210">
        <v>4.2441315736892333</v>
      </c>
      <c r="W20" s="172">
        <v>459413.99833323725</v>
      </c>
      <c r="X20" s="211">
        <v>7551671.5845140731</v>
      </c>
      <c r="Y20" s="210">
        <v>4.4604698838697292</v>
      </c>
      <c r="Z20" s="172">
        <v>470858.71127547702</v>
      </c>
      <c r="AA20" s="211">
        <v>7745864.8398626791</v>
      </c>
      <c r="AB20" s="210">
        <v>7.8114354960939014</v>
      </c>
      <c r="AC20" s="172">
        <v>522150.28966723033</v>
      </c>
      <c r="AD20" s="211">
        <v>8161614.788278861</v>
      </c>
      <c r="AE20" s="210">
        <v>7.9522265636108971</v>
      </c>
      <c r="AF20" s="172">
        <v>532330.44460185093</v>
      </c>
      <c r="AG20" s="211">
        <v>8319908.8670985522</v>
      </c>
      <c r="AH20" s="210">
        <v>8.111271094883115</v>
      </c>
      <c r="AI20" s="172">
        <v>542977.053493888</v>
      </c>
      <c r="AJ20" s="211">
        <v>8486307.0444405228</v>
      </c>
      <c r="AK20" s="210">
        <v>8.2734965167807779</v>
      </c>
      <c r="AL20" s="172">
        <v>553836.5945637658</v>
      </c>
      <c r="AM20" s="211">
        <v>8656033.1853293348</v>
      </c>
      <c r="AN20" s="210">
        <v>8.4389664471163925</v>
      </c>
      <c r="AO20" s="172">
        <v>564913.32645504107</v>
      </c>
      <c r="AP20" s="211">
        <v>8829153.8490359206</v>
      </c>
    </row>
    <row r="21" spans="2:42" x14ac:dyDescent="0.2">
      <c r="B21" s="170" t="s">
        <v>30</v>
      </c>
      <c r="C21" s="171" t="s">
        <v>308</v>
      </c>
      <c r="D21" s="210">
        <v>29</v>
      </c>
      <c r="E21" s="172">
        <v>14955472.538461294</v>
      </c>
      <c r="F21" s="211">
        <v>228537027.01443946</v>
      </c>
      <c r="G21" s="210">
        <v>23</v>
      </c>
      <c r="H21" s="172">
        <v>10262569.230002543</v>
      </c>
      <c r="I21" s="211">
        <v>153973313.24346548</v>
      </c>
      <c r="J21" s="210">
        <v>25</v>
      </c>
      <c r="K21" s="172">
        <v>3898032.0160968904</v>
      </c>
      <c r="L21" s="211">
        <v>44887294.921641417</v>
      </c>
      <c r="M21" s="210">
        <v>24</v>
      </c>
      <c r="N21" s="172">
        <v>6032907.6611347646</v>
      </c>
      <c r="O21" s="211">
        <v>90901059.68083185</v>
      </c>
      <c r="P21" s="210">
        <v>28</v>
      </c>
      <c r="Q21" s="172">
        <v>12142911.515128652</v>
      </c>
      <c r="R21" s="211">
        <v>202368993.99719065</v>
      </c>
      <c r="S21" s="210">
        <v>24</v>
      </c>
      <c r="T21" s="172">
        <v>16080666.796653202</v>
      </c>
      <c r="U21" s="211">
        <v>236539054.17118993</v>
      </c>
      <c r="V21" s="210">
        <v>97.734888746008821</v>
      </c>
      <c r="W21" s="172">
        <v>8845395.8954339959</v>
      </c>
      <c r="X21" s="211">
        <v>146183425.66672152</v>
      </c>
      <c r="Y21" s="210">
        <v>103.09819601533978</v>
      </c>
      <c r="Z21" s="172">
        <v>9080252.0874407087</v>
      </c>
      <c r="AA21" s="211">
        <v>150221139.03690639</v>
      </c>
      <c r="AB21" s="210">
        <v>177.19421669389729</v>
      </c>
      <c r="AC21" s="172">
        <v>10204899.298101159</v>
      </c>
      <c r="AD21" s="211">
        <v>160998358.53078872</v>
      </c>
      <c r="AE21" s="210">
        <v>180.31292976123592</v>
      </c>
      <c r="AF21" s="172">
        <v>10402009.18966461</v>
      </c>
      <c r="AG21" s="211">
        <v>164087194.08175135</v>
      </c>
      <c r="AH21" s="210">
        <v>183.91918835646067</v>
      </c>
      <c r="AI21" s="172">
        <v>10610049.373457901</v>
      </c>
      <c r="AJ21" s="211">
        <v>167368937.96338636</v>
      </c>
      <c r="AK21" s="210">
        <v>187.59757212358988</v>
      </c>
      <c r="AL21" s="172">
        <v>10822250.36092706</v>
      </c>
      <c r="AM21" s="211">
        <v>170716316.72265413</v>
      </c>
      <c r="AN21" s="210">
        <v>191.34952356606166</v>
      </c>
      <c r="AO21" s="172">
        <v>11038695.3681456</v>
      </c>
      <c r="AP21" s="211">
        <v>174130643.05710724</v>
      </c>
    </row>
    <row r="22" spans="2:42" x14ac:dyDescent="0.2">
      <c r="B22" s="170" t="s">
        <v>30</v>
      </c>
      <c r="C22" s="171" t="s">
        <v>309</v>
      </c>
      <c r="D22" s="210">
        <v>0</v>
      </c>
      <c r="E22" s="172">
        <v>0</v>
      </c>
      <c r="F22" s="211">
        <v>0</v>
      </c>
      <c r="G22" s="210">
        <v>0</v>
      </c>
      <c r="H22" s="172">
        <v>0</v>
      </c>
      <c r="I22" s="211">
        <v>0</v>
      </c>
      <c r="J22" s="210">
        <v>0</v>
      </c>
      <c r="K22" s="172">
        <v>0</v>
      </c>
      <c r="L22" s="211">
        <v>0</v>
      </c>
      <c r="M22" s="210">
        <v>0</v>
      </c>
      <c r="N22" s="172">
        <v>0</v>
      </c>
      <c r="O22" s="211">
        <v>0</v>
      </c>
      <c r="P22" s="210">
        <v>0</v>
      </c>
      <c r="Q22" s="172">
        <v>0</v>
      </c>
      <c r="R22" s="211">
        <v>0</v>
      </c>
      <c r="S22" s="210">
        <v>0</v>
      </c>
      <c r="T22" s="172">
        <v>0</v>
      </c>
      <c r="U22" s="211">
        <v>0</v>
      </c>
      <c r="V22" s="210">
        <v>0</v>
      </c>
      <c r="W22" s="172">
        <v>0</v>
      </c>
      <c r="X22" s="211">
        <v>0</v>
      </c>
      <c r="Y22" s="210">
        <v>0</v>
      </c>
      <c r="Z22" s="172">
        <v>0</v>
      </c>
      <c r="AA22" s="211">
        <v>0</v>
      </c>
      <c r="AB22" s="210">
        <v>0</v>
      </c>
      <c r="AC22" s="172">
        <v>0</v>
      </c>
      <c r="AD22" s="211">
        <v>0</v>
      </c>
      <c r="AE22" s="210">
        <v>0</v>
      </c>
      <c r="AF22" s="172">
        <v>0</v>
      </c>
      <c r="AG22" s="211">
        <v>0</v>
      </c>
      <c r="AH22" s="210">
        <v>0</v>
      </c>
      <c r="AI22" s="172">
        <v>0</v>
      </c>
      <c r="AJ22" s="211">
        <v>0</v>
      </c>
      <c r="AK22" s="210">
        <v>0</v>
      </c>
      <c r="AL22" s="172">
        <v>0</v>
      </c>
      <c r="AM22" s="211">
        <v>0</v>
      </c>
      <c r="AN22" s="210">
        <v>0</v>
      </c>
      <c r="AO22" s="172">
        <v>0</v>
      </c>
      <c r="AP22" s="211">
        <v>0</v>
      </c>
    </row>
    <row r="23" spans="2:42" x14ac:dyDescent="0.2">
      <c r="B23" s="170" t="s">
        <v>30</v>
      </c>
      <c r="C23" s="171" t="s">
        <v>310</v>
      </c>
      <c r="D23" s="210">
        <v>0</v>
      </c>
      <c r="E23" s="172">
        <v>0</v>
      </c>
      <c r="F23" s="211">
        <v>0</v>
      </c>
      <c r="G23" s="210">
        <v>0</v>
      </c>
      <c r="H23" s="172">
        <v>0</v>
      </c>
      <c r="I23" s="211">
        <v>0</v>
      </c>
      <c r="J23" s="210">
        <v>0</v>
      </c>
      <c r="K23" s="172">
        <v>0</v>
      </c>
      <c r="L23" s="211">
        <v>0</v>
      </c>
      <c r="M23" s="210">
        <v>0</v>
      </c>
      <c r="N23" s="172">
        <v>0</v>
      </c>
      <c r="O23" s="211">
        <v>0</v>
      </c>
      <c r="P23" s="210">
        <v>0</v>
      </c>
      <c r="Q23" s="172">
        <v>0</v>
      </c>
      <c r="R23" s="211">
        <v>0</v>
      </c>
      <c r="S23" s="210">
        <v>0</v>
      </c>
      <c r="T23" s="172">
        <v>0</v>
      </c>
      <c r="U23" s="211">
        <v>0</v>
      </c>
      <c r="V23" s="210">
        <v>0</v>
      </c>
      <c r="W23" s="172">
        <v>0</v>
      </c>
      <c r="X23" s="211">
        <v>0</v>
      </c>
      <c r="Y23" s="210">
        <v>0</v>
      </c>
      <c r="Z23" s="172">
        <v>0</v>
      </c>
      <c r="AA23" s="211">
        <v>0</v>
      </c>
      <c r="AB23" s="210">
        <v>0</v>
      </c>
      <c r="AC23" s="172">
        <v>0</v>
      </c>
      <c r="AD23" s="211">
        <v>0</v>
      </c>
      <c r="AE23" s="210">
        <v>0</v>
      </c>
      <c r="AF23" s="172">
        <v>0</v>
      </c>
      <c r="AG23" s="211">
        <v>0</v>
      </c>
      <c r="AH23" s="210">
        <v>0</v>
      </c>
      <c r="AI23" s="172">
        <v>0</v>
      </c>
      <c r="AJ23" s="211">
        <v>0</v>
      </c>
      <c r="AK23" s="210">
        <v>0</v>
      </c>
      <c r="AL23" s="172">
        <v>0</v>
      </c>
      <c r="AM23" s="211">
        <v>0</v>
      </c>
      <c r="AN23" s="210">
        <v>0</v>
      </c>
      <c r="AO23" s="172">
        <v>0</v>
      </c>
      <c r="AP23" s="211">
        <v>0</v>
      </c>
    </row>
    <row r="24" spans="2:42" x14ac:dyDescent="0.2">
      <c r="B24" s="170" t="s">
        <v>30</v>
      </c>
      <c r="C24" s="171" t="s">
        <v>311</v>
      </c>
      <c r="D24" s="210">
        <v>17</v>
      </c>
      <c r="E24" s="172">
        <v>8842211.0515266769</v>
      </c>
      <c r="F24" s="211">
        <v>121416766.53566225</v>
      </c>
      <c r="G24" s="210">
        <v>12</v>
      </c>
      <c r="H24" s="172">
        <v>3242460.646278</v>
      </c>
      <c r="I24" s="211">
        <v>53664186</v>
      </c>
      <c r="J24" s="210">
        <v>22</v>
      </c>
      <c r="K24" s="172">
        <v>6268013.5902440678</v>
      </c>
      <c r="L24" s="211">
        <v>109695054.97816601</v>
      </c>
      <c r="M24" s="210">
        <v>16</v>
      </c>
      <c r="N24" s="172">
        <v>2325576.368330508</v>
      </c>
      <c r="O24" s="211">
        <v>37133165.404586688</v>
      </c>
      <c r="P24" s="210">
        <v>13</v>
      </c>
      <c r="Q24" s="172">
        <v>655167.21611560998</v>
      </c>
      <c r="R24" s="211">
        <v>11638325.933907149</v>
      </c>
      <c r="S24" s="210">
        <v>9</v>
      </c>
      <c r="T24" s="172">
        <v>1228199.5621377516</v>
      </c>
      <c r="U24" s="211">
        <v>23462575.673652772</v>
      </c>
      <c r="V24" s="210">
        <v>16.767932512754907</v>
      </c>
      <c r="W24" s="172">
        <v>2035853.7080961366</v>
      </c>
      <c r="X24" s="211">
        <v>33188087.147967361</v>
      </c>
      <c r="Y24" s="210">
        <v>17.367013563595663</v>
      </c>
      <c r="Z24" s="172">
        <v>2081704.5191042749</v>
      </c>
      <c r="AA24" s="211">
        <v>33950893.879885942</v>
      </c>
      <c r="AB24" s="210">
        <v>38.591447211231156</v>
      </c>
      <c r="AC24" s="172">
        <v>2256451.6622180329</v>
      </c>
      <c r="AD24" s="211">
        <v>34821456.529817268</v>
      </c>
      <c r="AE24" s="210">
        <v>39.280058496629437</v>
      </c>
      <c r="AF24" s="172">
        <v>2300929.7845918043</v>
      </c>
      <c r="AG24" s="211">
        <v>35505871.38130492</v>
      </c>
      <c r="AH24" s="210">
        <v>40.065659666562027</v>
      </c>
      <c r="AI24" s="172">
        <v>2346948.3802836398</v>
      </c>
      <c r="AJ24" s="211">
        <v>36215988.808931023</v>
      </c>
      <c r="AK24" s="210">
        <v>40.866972859893281</v>
      </c>
      <c r="AL24" s="172">
        <v>2393887.347889313</v>
      </c>
      <c r="AM24" s="211">
        <v>36940308.585109644</v>
      </c>
      <c r="AN24" s="210">
        <v>41.684312317091134</v>
      </c>
      <c r="AO24" s="172">
        <v>2441765.0948470989</v>
      </c>
      <c r="AP24" s="211">
        <v>37679114.756811842</v>
      </c>
    </row>
    <row r="25" spans="2:42" x14ac:dyDescent="0.2">
      <c r="B25" s="170" t="s">
        <v>30</v>
      </c>
      <c r="C25" s="171" t="s">
        <v>312</v>
      </c>
      <c r="D25" s="210">
        <v>16</v>
      </c>
      <c r="E25" s="172">
        <v>50153666.187367268</v>
      </c>
      <c r="F25" s="211">
        <v>603578141.0262506</v>
      </c>
      <c r="G25" s="210">
        <v>14</v>
      </c>
      <c r="H25" s="172">
        <v>6559201.7683295654</v>
      </c>
      <c r="I25" s="211">
        <v>78053652</v>
      </c>
      <c r="J25" s="210">
        <v>14</v>
      </c>
      <c r="K25" s="172">
        <v>7968530.4545169221</v>
      </c>
      <c r="L25" s="211">
        <v>99801882.245541006</v>
      </c>
      <c r="M25" s="210">
        <v>15</v>
      </c>
      <c r="N25" s="172">
        <v>7510552.5358997919</v>
      </c>
      <c r="O25" s="211">
        <v>78173241.941221997</v>
      </c>
      <c r="P25" s="210">
        <v>16</v>
      </c>
      <c r="Q25" s="172">
        <v>6115931.051732881</v>
      </c>
      <c r="R25" s="211">
        <v>53506438.747437671</v>
      </c>
      <c r="S25" s="210">
        <v>13</v>
      </c>
      <c r="T25" s="172">
        <v>7239412.9338222211</v>
      </c>
      <c r="U25" s="211">
        <v>56672031.017102025</v>
      </c>
      <c r="V25" s="210">
        <v>15.782163928409071</v>
      </c>
      <c r="W25" s="172">
        <v>8769785.1215238329</v>
      </c>
      <c r="X25" s="211">
        <v>90935325.492261782</v>
      </c>
      <c r="Y25" s="210">
        <v>15.030632312770544</v>
      </c>
      <c r="Z25" s="172">
        <v>8439433.1142010689</v>
      </c>
      <c r="AA25" s="211">
        <v>87509851.903497532</v>
      </c>
      <c r="AB25" s="210">
        <v>66.134782176190384</v>
      </c>
      <c r="AC25" s="172">
        <v>6989243.7763206046</v>
      </c>
      <c r="AD25" s="211">
        <v>69892437.763206035</v>
      </c>
      <c r="AE25" s="210">
        <v>67.4574778197142</v>
      </c>
      <c r="AF25" s="172">
        <v>7129028.6518470151</v>
      </c>
      <c r="AG25" s="211">
        <v>71290286.518470153</v>
      </c>
      <c r="AH25" s="210">
        <v>68.80662737610848</v>
      </c>
      <c r="AI25" s="172">
        <v>7271609.2248839568</v>
      </c>
      <c r="AJ25" s="211">
        <v>72716092.248839557</v>
      </c>
      <c r="AK25" s="210">
        <v>70.182759923630684</v>
      </c>
      <c r="AL25" s="172">
        <v>7417041.4093816373</v>
      </c>
      <c r="AM25" s="211">
        <v>74170414.093816355</v>
      </c>
      <c r="AN25" s="210">
        <v>71.586415122103276</v>
      </c>
      <c r="AO25" s="172">
        <v>7565382.2375692697</v>
      </c>
      <c r="AP25" s="211">
        <v>75653822.37569268</v>
      </c>
    </row>
    <row r="26" spans="2:42" x14ac:dyDescent="0.2">
      <c r="B26" s="170" t="s">
        <v>30</v>
      </c>
      <c r="C26" s="171" t="s">
        <v>313</v>
      </c>
      <c r="D26" s="210">
        <v>0</v>
      </c>
      <c r="E26" s="172">
        <v>0</v>
      </c>
      <c r="F26" s="211">
        <v>0</v>
      </c>
      <c r="G26" s="210">
        <v>0</v>
      </c>
      <c r="H26" s="172">
        <v>0</v>
      </c>
      <c r="I26" s="211">
        <v>0</v>
      </c>
      <c r="J26" s="210">
        <v>0</v>
      </c>
      <c r="K26" s="172">
        <v>0</v>
      </c>
      <c r="L26" s="211">
        <v>0</v>
      </c>
      <c r="M26" s="210">
        <v>0</v>
      </c>
      <c r="N26" s="172">
        <v>0</v>
      </c>
      <c r="O26" s="211">
        <v>0</v>
      </c>
      <c r="P26" s="210">
        <v>0</v>
      </c>
      <c r="Q26" s="172">
        <v>0</v>
      </c>
      <c r="R26" s="211">
        <v>0</v>
      </c>
      <c r="S26" s="210">
        <v>0</v>
      </c>
      <c r="T26" s="172">
        <v>0</v>
      </c>
      <c r="U26" s="211">
        <v>0</v>
      </c>
      <c r="V26" s="210">
        <v>0</v>
      </c>
      <c r="W26" s="172">
        <v>0</v>
      </c>
      <c r="X26" s="211">
        <v>0</v>
      </c>
      <c r="Y26" s="210">
        <v>0</v>
      </c>
      <c r="Z26" s="172">
        <v>0</v>
      </c>
      <c r="AA26" s="211">
        <v>0</v>
      </c>
      <c r="AB26" s="210">
        <v>0</v>
      </c>
      <c r="AC26" s="172">
        <v>0</v>
      </c>
      <c r="AD26" s="211">
        <v>0</v>
      </c>
      <c r="AE26" s="210">
        <v>0</v>
      </c>
      <c r="AF26" s="172">
        <v>0</v>
      </c>
      <c r="AG26" s="211">
        <v>0</v>
      </c>
      <c r="AH26" s="210">
        <v>0</v>
      </c>
      <c r="AI26" s="172">
        <v>0</v>
      </c>
      <c r="AJ26" s="211">
        <v>0</v>
      </c>
      <c r="AK26" s="210">
        <v>0</v>
      </c>
      <c r="AL26" s="172">
        <v>0</v>
      </c>
      <c r="AM26" s="211">
        <v>0</v>
      </c>
      <c r="AN26" s="210">
        <v>0</v>
      </c>
      <c r="AO26" s="172">
        <v>0</v>
      </c>
      <c r="AP26" s="211">
        <v>0</v>
      </c>
    </row>
    <row r="27" spans="2:42" x14ac:dyDescent="0.2">
      <c r="B27" s="290" t="s">
        <v>314</v>
      </c>
      <c r="C27" s="291"/>
      <c r="D27" s="212">
        <f t="shared" ref="D27:U27" si="1">SUM(D17:D26)</f>
        <v>23234</v>
      </c>
      <c r="E27" s="176">
        <f t="shared" si="1"/>
        <v>111502612.61576587</v>
      </c>
      <c r="F27" s="213">
        <f t="shared" si="1"/>
        <v>1590174743.100831</v>
      </c>
      <c r="G27" s="212">
        <f t="shared" si="1"/>
        <v>8502</v>
      </c>
      <c r="H27" s="176">
        <f t="shared" si="1"/>
        <v>52009701.650550269</v>
      </c>
      <c r="I27" s="213">
        <f t="shared" si="1"/>
        <v>882651618.58428264</v>
      </c>
      <c r="J27" s="212">
        <f t="shared" si="1"/>
        <v>14814</v>
      </c>
      <c r="K27" s="176">
        <f t="shared" si="1"/>
        <v>63100562.985521048</v>
      </c>
      <c r="L27" s="213">
        <f t="shared" si="1"/>
        <v>1043809810.3677706</v>
      </c>
      <c r="M27" s="212">
        <f t="shared" si="1"/>
        <v>16877</v>
      </c>
      <c r="N27" s="176">
        <f t="shared" si="1"/>
        <v>59058169.95909287</v>
      </c>
      <c r="O27" s="213">
        <f t="shared" si="1"/>
        <v>978651410.8408879</v>
      </c>
      <c r="P27" s="212">
        <f t="shared" si="1"/>
        <v>16903</v>
      </c>
      <c r="Q27" s="176">
        <f t="shared" si="1"/>
        <v>56186680.911865696</v>
      </c>
      <c r="R27" s="213">
        <f t="shared" si="1"/>
        <v>934524697.84579909</v>
      </c>
      <c r="S27" s="212">
        <f t="shared" si="1"/>
        <v>17363</v>
      </c>
      <c r="T27" s="176">
        <f t="shared" si="1"/>
        <v>49153160.140361242</v>
      </c>
      <c r="U27" s="213">
        <f t="shared" si="1"/>
        <v>743853988.51870787</v>
      </c>
      <c r="V27" s="212">
        <v>24282.016860418888</v>
      </c>
      <c r="W27" s="176">
        <v>45442620.788377449</v>
      </c>
      <c r="X27" s="213">
        <v>738779928.58906448</v>
      </c>
      <c r="Y27" s="212">
        <v>19915.161194230535</v>
      </c>
      <c r="Z27" s="176">
        <v>44830403.874770477</v>
      </c>
      <c r="AA27" s="213">
        <v>726965246.65689135</v>
      </c>
      <c r="AB27" s="212">
        <v>23984.435295795811</v>
      </c>
      <c r="AC27" s="176">
        <v>45402482.750666648</v>
      </c>
      <c r="AD27" s="213">
        <v>710847559.29357469</v>
      </c>
      <c r="AE27" s="212">
        <v>24526.736239145055</v>
      </c>
      <c r="AF27" s="176">
        <v>46345371.440009251</v>
      </c>
      <c r="AG27" s="213">
        <v>725426006.98925817</v>
      </c>
      <c r="AH27" s="212">
        <v>25026.080736223976</v>
      </c>
      <c r="AI27" s="176">
        <v>47316327.730289519</v>
      </c>
      <c r="AJ27" s="213">
        <v>740375015.74384403</v>
      </c>
      <c r="AK27" s="212">
        <v>25508.263641271038</v>
      </c>
      <c r="AL27" s="176">
        <v>48170960.736508213</v>
      </c>
      <c r="AM27" s="213">
        <v>754265580.57484984</v>
      </c>
      <c r="AN27" s="212">
        <v>26018.428914096461</v>
      </c>
      <c r="AO27" s="176">
        <v>49134379.951238386</v>
      </c>
      <c r="AP27" s="213">
        <v>769350892.18634713</v>
      </c>
    </row>
    <row r="28" spans="2:42" x14ac:dyDescent="0.2">
      <c r="B28" s="170" t="s">
        <v>33</v>
      </c>
      <c r="C28" s="171" t="s">
        <v>34</v>
      </c>
      <c r="D28" s="210">
        <v>2656</v>
      </c>
      <c r="E28" s="172">
        <v>1726629.4881789242</v>
      </c>
      <c r="F28" s="211">
        <v>34164933.027401879</v>
      </c>
      <c r="G28" s="210">
        <v>893</v>
      </c>
      <c r="H28" s="172">
        <v>1623133.0653498268</v>
      </c>
      <c r="I28" s="211">
        <v>35973640.536664099</v>
      </c>
      <c r="J28" s="210">
        <v>1970</v>
      </c>
      <c r="K28" s="172">
        <v>2378398.1670344174</v>
      </c>
      <c r="L28" s="211">
        <v>55848593.334811136</v>
      </c>
      <c r="M28" s="210">
        <v>1773</v>
      </c>
      <c r="N28" s="172">
        <v>2373856.076251931</v>
      </c>
      <c r="O28" s="211">
        <v>52656343.307277255</v>
      </c>
      <c r="P28" s="210">
        <v>3029</v>
      </c>
      <c r="Q28" s="172">
        <v>2646538.3012089604</v>
      </c>
      <c r="R28" s="211">
        <v>58910127.701707706</v>
      </c>
      <c r="S28" s="210">
        <v>3859</v>
      </c>
      <c r="T28" s="172">
        <v>1506392.5958717347</v>
      </c>
      <c r="U28" s="211">
        <v>30998362.946177755</v>
      </c>
      <c r="V28" s="210">
        <v>4979.3076821602317</v>
      </c>
      <c r="W28" s="172">
        <v>2003097.1190175831</v>
      </c>
      <c r="X28" s="211">
        <v>38606716.748842642</v>
      </c>
      <c r="Y28" s="210">
        <v>4386.0303082068012</v>
      </c>
      <c r="Z28" s="172">
        <v>1900093.3334920006</v>
      </c>
      <c r="AA28" s="211">
        <v>36688884.062121876</v>
      </c>
      <c r="AB28" s="210">
        <v>4728.9145656662668</v>
      </c>
      <c r="AC28" s="172">
        <v>1832551.6585736587</v>
      </c>
      <c r="AD28" s="211">
        <v>34686294.726024695</v>
      </c>
      <c r="AE28" s="210">
        <v>4833.4243941243012</v>
      </c>
      <c r="AF28" s="172">
        <v>1880540.3244615418</v>
      </c>
      <c r="AG28" s="211">
        <v>35511078.867223725</v>
      </c>
      <c r="AH28" s="210">
        <v>4932.0996815007784</v>
      </c>
      <c r="AI28" s="172">
        <v>1928185.1284207287</v>
      </c>
      <c r="AJ28" s="211">
        <v>36321640.419267759</v>
      </c>
      <c r="AK28" s="210">
        <v>5026.5642557759556</v>
      </c>
      <c r="AL28" s="172">
        <v>1945861.7342149499</v>
      </c>
      <c r="AM28" s="211">
        <v>36839202.259911187</v>
      </c>
      <c r="AN28" s="210">
        <v>5127.0955408914751</v>
      </c>
      <c r="AO28" s="172">
        <v>1984778.9688992489</v>
      </c>
      <c r="AP28" s="211">
        <v>37575986.305109419</v>
      </c>
    </row>
    <row r="29" spans="2:42" x14ac:dyDescent="0.2">
      <c r="B29" s="170" t="s">
        <v>33</v>
      </c>
      <c r="C29" s="171" t="s">
        <v>35</v>
      </c>
      <c r="D29" s="210">
        <v>72</v>
      </c>
      <c r="E29" s="172">
        <v>1359418.021222316</v>
      </c>
      <c r="F29" s="211">
        <v>28201995.150826335</v>
      </c>
      <c r="G29" s="210">
        <v>67</v>
      </c>
      <c r="H29" s="172">
        <v>1206386.0442494876</v>
      </c>
      <c r="I29" s="211">
        <v>25422371.394697603</v>
      </c>
      <c r="J29" s="210">
        <v>112</v>
      </c>
      <c r="K29" s="172">
        <v>2322547.1513927872</v>
      </c>
      <c r="L29" s="211">
        <v>44155164.228237517</v>
      </c>
      <c r="M29" s="210">
        <v>68</v>
      </c>
      <c r="N29" s="172">
        <v>1633299.4894073056</v>
      </c>
      <c r="O29" s="211">
        <v>30927458.985354446</v>
      </c>
      <c r="P29" s="210">
        <v>71</v>
      </c>
      <c r="Q29" s="172">
        <v>1674723.0572863994</v>
      </c>
      <c r="R29" s="211">
        <v>36000470.511754051</v>
      </c>
      <c r="S29" s="210">
        <v>63</v>
      </c>
      <c r="T29" s="172">
        <v>482774.75633170997</v>
      </c>
      <c r="U29" s="211">
        <v>9188219.5916521009</v>
      </c>
      <c r="V29" s="210">
        <v>82.054345587919869</v>
      </c>
      <c r="W29" s="172">
        <v>785111.53359751171</v>
      </c>
      <c r="X29" s="211">
        <v>12983873.339455089</v>
      </c>
      <c r="Y29" s="210">
        <v>75.948183366016309</v>
      </c>
      <c r="Z29" s="172">
        <v>805535.77814570512</v>
      </c>
      <c r="AA29" s="211">
        <v>13445383.073897483</v>
      </c>
      <c r="AB29" s="210">
        <v>177.78375035988111</v>
      </c>
      <c r="AC29" s="172">
        <v>814749.41870154021</v>
      </c>
      <c r="AD29" s="211">
        <v>13041438.707733033</v>
      </c>
      <c r="AE29" s="210">
        <v>180.59116430825367</v>
      </c>
      <c r="AF29" s="172">
        <v>837299.15815861512</v>
      </c>
      <c r="AG29" s="211">
        <v>13360985.811182853</v>
      </c>
      <c r="AH29" s="210">
        <v>185.63641580441248</v>
      </c>
      <c r="AI29" s="172">
        <v>861212.28237175569</v>
      </c>
      <c r="AJ29" s="211">
        <v>13699876.937906194</v>
      </c>
      <c r="AK29" s="210">
        <v>186.36527315275876</v>
      </c>
      <c r="AL29" s="172">
        <v>863517.1731804813</v>
      </c>
      <c r="AM29" s="211">
        <v>13824680.928277222</v>
      </c>
      <c r="AN29" s="210">
        <v>190.09257861581392</v>
      </c>
      <c r="AO29" s="172">
        <v>880787.51664409076</v>
      </c>
      <c r="AP29" s="211">
        <v>14101174.546842767</v>
      </c>
    </row>
    <row r="30" spans="2:42" x14ac:dyDescent="0.2">
      <c r="B30" s="170" t="s">
        <v>33</v>
      </c>
      <c r="C30" s="171" t="s">
        <v>315</v>
      </c>
      <c r="D30" s="210">
        <v>17</v>
      </c>
      <c r="E30" s="172">
        <v>2956852.2534628198</v>
      </c>
      <c r="F30" s="211">
        <v>43791103.348666541</v>
      </c>
      <c r="G30" s="210">
        <v>13</v>
      </c>
      <c r="H30" s="172">
        <v>917633.91745564213</v>
      </c>
      <c r="I30" s="211">
        <v>13592977.484355824</v>
      </c>
      <c r="J30" s="210">
        <v>13</v>
      </c>
      <c r="K30" s="172">
        <v>702776.12394389021</v>
      </c>
      <c r="L30" s="211">
        <v>12923441.818093104</v>
      </c>
      <c r="M30" s="210">
        <v>12</v>
      </c>
      <c r="N30" s="172">
        <v>2565182.173956607</v>
      </c>
      <c r="O30" s="211">
        <v>51258395.3972608</v>
      </c>
      <c r="P30" s="210">
        <v>17</v>
      </c>
      <c r="Q30" s="172">
        <v>1991177.8739561099</v>
      </c>
      <c r="R30" s="211">
        <v>39017464.670234129</v>
      </c>
      <c r="S30" s="210">
        <v>8</v>
      </c>
      <c r="T30" s="172">
        <v>371215.48993059003</v>
      </c>
      <c r="U30" s="211">
        <v>7158018.8584593311</v>
      </c>
      <c r="V30" s="210">
        <v>30.866163262389616</v>
      </c>
      <c r="W30" s="172">
        <v>5333680.1023407187</v>
      </c>
      <c r="X30" s="211">
        <v>86318926.265305609</v>
      </c>
      <c r="Y30" s="210">
        <v>31.472168238321874</v>
      </c>
      <c r="Z30" s="172">
        <v>5442171.833139292</v>
      </c>
      <c r="AA30" s="211">
        <v>88077604.644894406</v>
      </c>
      <c r="AB30" s="210">
        <v>78.774870565722651</v>
      </c>
      <c r="AC30" s="172">
        <v>5790463.7877279613</v>
      </c>
      <c r="AD30" s="211">
        <v>88137584.284132838</v>
      </c>
      <c r="AE30" s="210">
        <v>80.238695416034147</v>
      </c>
      <c r="AF30" s="172">
        <v>5906121.9692624109</v>
      </c>
      <c r="AG30" s="211">
        <v>89897917.896762028</v>
      </c>
      <c r="AH30" s="210">
        <v>81.843469324354828</v>
      </c>
      <c r="AI30" s="172">
        <v>6024244.4086476574</v>
      </c>
      <c r="AJ30" s="211">
        <v>91695876.254697248</v>
      </c>
      <c r="AK30" s="210">
        <v>83.48033871084192</v>
      </c>
      <c r="AL30" s="172">
        <v>6144729.2968206117</v>
      </c>
      <c r="AM30" s="211">
        <v>93529793.779791206</v>
      </c>
      <c r="AN30" s="210">
        <v>85.149945485058765</v>
      </c>
      <c r="AO30" s="172">
        <v>6267623.882757023</v>
      </c>
      <c r="AP30" s="211">
        <v>95400389.655387044</v>
      </c>
    </row>
    <row r="31" spans="2:42" x14ac:dyDescent="0.2">
      <c r="B31" s="170" t="s">
        <v>33</v>
      </c>
      <c r="C31" s="171" t="s">
        <v>316</v>
      </c>
      <c r="D31" s="210">
        <v>0</v>
      </c>
      <c r="E31" s="172">
        <v>0</v>
      </c>
      <c r="F31" s="211">
        <v>0</v>
      </c>
      <c r="G31" s="210">
        <v>0</v>
      </c>
      <c r="H31" s="172">
        <v>0</v>
      </c>
      <c r="I31" s="211">
        <v>0</v>
      </c>
      <c r="J31" s="210">
        <v>0</v>
      </c>
      <c r="K31" s="172">
        <v>0</v>
      </c>
      <c r="L31" s="211">
        <v>0</v>
      </c>
      <c r="M31" s="210">
        <v>0</v>
      </c>
      <c r="N31" s="172">
        <v>0</v>
      </c>
      <c r="O31" s="211">
        <v>0</v>
      </c>
      <c r="P31" s="210">
        <v>0</v>
      </c>
      <c r="Q31" s="172">
        <v>0</v>
      </c>
      <c r="R31" s="211">
        <v>0</v>
      </c>
      <c r="S31" s="210">
        <v>0</v>
      </c>
      <c r="T31" s="172">
        <v>0</v>
      </c>
      <c r="U31" s="211">
        <v>0</v>
      </c>
      <c r="V31" s="210">
        <v>0</v>
      </c>
      <c r="W31" s="172">
        <v>0</v>
      </c>
      <c r="X31" s="211">
        <v>0</v>
      </c>
      <c r="Y31" s="210">
        <v>0</v>
      </c>
      <c r="Z31" s="172">
        <v>0</v>
      </c>
      <c r="AA31" s="211">
        <v>0</v>
      </c>
      <c r="AB31" s="210">
        <v>0</v>
      </c>
      <c r="AC31" s="172">
        <v>0</v>
      </c>
      <c r="AD31" s="211">
        <v>0</v>
      </c>
      <c r="AE31" s="210">
        <v>0</v>
      </c>
      <c r="AF31" s="172">
        <v>0</v>
      </c>
      <c r="AG31" s="211">
        <v>0</v>
      </c>
      <c r="AH31" s="210">
        <v>0</v>
      </c>
      <c r="AI31" s="172">
        <v>0</v>
      </c>
      <c r="AJ31" s="211">
        <v>0</v>
      </c>
      <c r="AK31" s="210">
        <v>0</v>
      </c>
      <c r="AL31" s="172">
        <v>0</v>
      </c>
      <c r="AM31" s="211">
        <v>0</v>
      </c>
      <c r="AN31" s="210">
        <v>0</v>
      </c>
      <c r="AO31" s="172">
        <v>0</v>
      </c>
      <c r="AP31" s="211">
        <v>0</v>
      </c>
    </row>
    <row r="32" spans="2:42" x14ac:dyDescent="0.2">
      <c r="B32" s="170" t="s">
        <v>33</v>
      </c>
      <c r="C32" s="180" t="s">
        <v>317</v>
      </c>
      <c r="D32" s="216">
        <v>7</v>
      </c>
      <c r="E32" s="181">
        <v>7531680.2395933103</v>
      </c>
      <c r="F32" s="217">
        <v>54432705.845753878</v>
      </c>
      <c r="G32" s="216">
        <v>6</v>
      </c>
      <c r="H32" s="181">
        <v>212851.10751047992</v>
      </c>
      <c r="I32" s="217">
        <v>1794650</v>
      </c>
      <c r="J32" s="216">
        <v>7</v>
      </c>
      <c r="K32" s="181">
        <v>1505937.2470099605</v>
      </c>
      <c r="L32" s="217">
        <v>26002232.638180587</v>
      </c>
      <c r="M32" s="216">
        <v>5</v>
      </c>
      <c r="N32" s="181">
        <v>545190.67048449011</v>
      </c>
      <c r="O32" s="217">
        <v>11023653.934273684</v>
      </c>
      <c r="P32" s="216">
        <v>5</v>
      </c>
      <c r="Q32" s="181">
        <v>930981.22783434018</v>
      </c>
      <c r="R32" s="217">
        <v>18863752.916905023</v>
      </c>
      <c r="S32" s="216">
        <v>9</v>
      </c>
      <c r="T32" s="181">
        <v>4974444.0970050329</v>
      </c>
      <c r="U32" s="217">
        <v>69975435.166338146</v>
      </c>
      <c r="V32" s="216">
        <v>5.2178360715909271</v>
      </c>
      <c r="W32" s="181">
        <v>2899431.3678885521</v>
      </c>
      <c r="X32" s="217">
        <v>30064674.507738199</v>
      </c>
      <c r="Y32" s="216">
        <v>4.9693676872294539</v>
      </c>
      <c r="Z32" s="181">
        <v>2790211.705239607</v>
      </c>
      <c r="AA32" s="217">
        <v>28932158.096502449</v>
      </c>
      <c r="AB32" s="216">
        <v>21.865217823809598</v>
      </c>
      <c r="AC32" s="181">
        <v>2310755.8921993966</v>
      </c>
      <c r="AD32" s="217">
        <v>23107558.921993963</v>
      </c>
      <c r="AE32" s="216">
        <v>22.302522180285795</v>
      </c>
      <c r="AF32" s="181">
        <v>2356971.0100433845</v>
      </c>
      <c r="AG32" s="217">
        <v>23569710.100433838</v>
      </c>
      <c r="AH32" s="216">
        <v>22.748572623891508</v>
      </c>
      <c r="AI32" s="181">
        <v>2404110.4302442526</v>
      </c>
      <c r="AJ32" s="217">
        <v>24041104.302442521</v>
      </c>
      <c r="AK32" s="216">
        <v>23.203544076369347</v>
      </c>
      <c r="AL32" s="181">
        <v>2452192.6388491378</v>
      </c>
      <c r="AM32" s="217">
        <v>24521926.388491374</v>
      </c>
      <c r="AN32" s="216">
        <v>23.667614957896728</v>
      </c>
      <c r="AO32" s="181">
        <v>2501236.4916261206</v>
      </c>
      <c r="AP32" s="217">
        <v>25012364.916261204</v>
      </c>
    </row>
    <row r="33" spans="2:42" ht="16" thickBot="1" x14ac:dyDescent="0.25">
      <c r="B33" s="292" t="s">
        <v>318</v>
      </c>
      <c r="C33" s="293"/>
      <c r="D33" s="212">
        <f t="shared" ref="D33:U33" si="2">SUM(D28:D32)</f>
        <v>2752</v>
      </c>
      <c r="E33" s="184">
        <f t="shared" si="2"/>
        <v>13574580.002457371</v>
      </c>
      <c r="F33" s="218">
        <f t="shared" si="2"/>
        <v>160590737.37264863</v>
      </c>
      <c r="G33" s="212">
        <f t="shared" si="2"/>
        <v>979</v>
      </c>
      <c r="H33" s="184">
        <f t="shared" si="2"/>
        <v>3960004.1345654367</v>
      </c>
      <c r="I33" s="218">
        <f t="shared" si="2"/>
        <v>76783639.415717527</v>
      </c>
      <c r="J33" s="212">
        <f t="shared" si="2"/>
        <v>2102</v>
      </c>
      <c r="K33" s="184">
        <f t="shared" si="2"/>
        <v>6909658.6893810555</v>
      </c>
      <c r="L33" s="218">
        <f t="shared" si="2"/>
        <v>138929432.01932237</v>
      </c>
      <c r="M33" s="212">
        <f t="shared" si="2"/>
        <v>1858</v>
      </c>
      <c r="N33" s="184">
        <f t="shared" si="2"/>
        <v>7117528.4101003334</v>
      </c>
      <c r="O33" s="218">
        <f t="shared" si="2"/>
        <v>145865851.62416619</v>
      </c>
      <c r="P33" s="212">
        <f t="shared" si="2"/>
        <v>3122</v>
      </c>
      <c r="Q33" s="184">
        <f t="shared" si="2"/>
        <v>7243420.4602858108</v>
      </c>
      <c r="R33" s="218">
        <f t="shared" si="2"/>
        <v>152791815.80060092</v>
      </c>
      <c r="S33" s="212">
        <f t="shared" si="2"/>
        <v>3939</v>
      </c>
      <c r="T33" s="184">
        <f t="shared" si="2"/>
        <v>7334826.9391390681</v>
      </c>
      <c r="U33" s="218">
        <f t="shared" si="2"/>
        <v>117320036.56262733</v>
      </c>
      <c r="V33" s="212">
        <v>5097.4460270821319</v>
      </c>
      <c r="W33" s="184">
        <v>11021320.122844364</v>
      </c>
      <c r="X33" s="218">
        <v>167974190.86134154</v>
      </c>
      <c r="Y33" s="212">
        <v>4498.4200274983687</v>
      </c>
      <c r="Z33" s="184">
        <v>10938012.650016606</v>
      </c>
      <c r="AA33" s="218">
        <v>167144029.87741622</v>
      </c>
      <c r="AB33" s="212">
        <v>5007.3384044156801</v>
      </c>
      <c r="AC33" s="184">
        <v>10748520.757202558</v>
      </c>
      <c r="AD33" s="218">
        <v>158972876.63988453</v>
      </c>
      <c r="AE33" s="212">
        <v>5116.5567760288741</v>
      </c>
      <c r="AF33" s="184">
        <v>10980932.461925952</v>
      </c>
      <c r="AG33" s="218">
        <v>162339692.67560244</v>
      </c>
      <c r="AH33" s="212">
        <v>5222.3281392534373</v>
      </c>
      <c r="AI33" s="184">
        <v>11217752.249684393</v>
      </c>
      <c r="AJ33" s="218">
        <v>165758497.9143137</v>
      </c>
      <c r="AK33" s="212">
        <v>5319.6134117159263</v>
      </c>
      <c r="AL33" s="184">
        <v>11406300.84306518</v>
      </c>
      <c r="AM33" s="218">
        <v>168715603.35647097</v>
      </c>
      <c r="AN33" s="212">
        <v>5426.0056799502454</v>
      </c>
      <c r="AO33" s="184">
        <v>11634426.859926485</v>
      </c>
      <c r="AP33" s="218">
        <v>172089915.42360044</v>
      </c>
    </row>
    <row r="34" spans="2:42" ht="17" thickTop="1" thickBot="1" x14ac:dyDescent="0.25">
      <c r="B34" s="185" t="s">
        <v>9</v>
      </c>
      <c r="C34" s="186"/>
      <c r="D34" s="219">
        <f t="shared" ref="D34:U34" si="3">SUM(D16,D27,D33)</f>
        <v>35039</v>
      </c>
      <c r="E34" s="187">
        <f t="shared" si="3"/>
        <v>174048748.63020679</v>
      </c>
      <c r="F34" s="220">
        <f t="shared" si="3"/>
        <v>2576930931.0429082</v>
      </c>
      <c r="G34" s="219">
        <f t="shared" si="3"/>
        <v>42186</v>
      </c>
      <c r="H34" s="187">
        <f t="shared" si="3"/>
        <v>106493294.34652686</v>
      </c>
      <c r="I34" s="220">
        <f t="shared" si="3"/>
        <v>1796549299.5673003</v>
      </c>
      <c r="J34" s="219">
        <f t="shared" si="3"/>
        <v>45146</v>
      </c>
      <c r="K34" s="187">
        <f t="shared" si="3"/>
        <v>114026895.71634379</v>
      </c>
      <c r="L34" s="220">
        <f t="shared" si="3"/>
        <v>1969910571.6792831</v>
      </c>
      <c r="M34" s="219">
        <f t="shared" si="3"/>
        <v>51826</v>
      </c>
      <c r="N34" s="187">
        <f t="shared" si="3"/>
        <v>108402303.06653216</v>
      </c>
      <c r="O34" s="220">
        <f t="shared" si="3"/>
        <v>1931991619.4650543</v>
      </c>
      <c r="P34" s="219">
        <f t="shared" si="3"/>
        <v>55553</v>
      </c>
      <c r="Q34" s="187">
        <f t="shared" si="3"/>
        <v>115690826.99121615</v>
      </c>
      <c r="R34" s="220">
        <f t="shared" si="3"/>
        <v>2075861664.2001693</v>
      </c>
      <c r="S34" s="219">
        <f t="shared" si="3"/>
        <v>61451</v>
      </c>
      <c r="T34" s="187">
        <f t="shared" si="3"/>
        <v>96238681.906602636</v>
      </c>
      <c r="U34" s="220">
        <f t="shared" si="3"/>
        <v>1632224491.5389011</v>
      </c>
      <c r="V34" s="219">
        <v>70818.000000000015</v>
      </c>
      <c r="W34" s="187">
        <v>103218983.99738765</v>
      </c>
      <c r="X34" s="220">
        <v>1760815236.7199998</v>
      </c>
      <c r="Y34" s="219">
        <v>58388.999999999993</v>
      </c>
      <c r="Z34" s="187">
        <v>101941482.51359634</v>
      </c>
      <c r="AA34" s="220">
        <v>1733679692.3320892</v>
      </c>
      <c r="AB34" s="219">
        <v>69958.2</v>
      </c>
      <c r="AC34" s="187">
        <v>106677914.21976799</v>
      </c>
      <c r="AD34" s="220">
        <v>1749703195.774261</v>
      </c>
      <c r="AE34" s="219">
        <v>71535.423548379724</v>
      </c>
      <c r="AF34" s="187">
        <v>108884160.56600603</v>
      </c>
      <c r="AG34" s="220">
        <v>1785254075.4870343</v>
      </c>
      <c r="AH34" s="219">
        <v>72990.632019347351</v>
      </c>
      <c r="AI34" s="187">
        <v>111184343.77732617</v>
      </c>
      <c r="AJ34" s="220">
        <v>1822184156.9967752</v>
      </c>
      <c r="AK34" s="219">
        <v>74399.44465973429</v>
      </c>
      <c r="AL34" s="187">
        <v>113153030.65287268</v>
      </c>
      <c r="AM34" s="220">
        <v>1856077840.1367109</v>
      </c>
      <c r="AN34" s="219">
        <v>75887.433552928997</v>
      </c>
      <c r="AO34" s="187">
        <v>115416091.26593018</v>
      </c>
      <c r="AP34" s="220">
        <v>1893199396.9394453</v>
      </c>
    </row>
    <row r="35" spans="2:42" x14ac:dyDescent="0.2">
      <c r="Y35" s="69"/>
      <c r="Z35" s="69"/>
      <c r="AA35" s="69"/>
      <c r="AB35" s="69"/>
      <c r="AC35" s="69"/>
      <c r="AD35" s="69"/>
      <c r="AE35" s="69"/>
      <c r="AF35" s="69"/>
      <c r="AG35" s="69"/>
      <c r="AH35" s="69"/>
      <c r="AI35" s="69"/>
      <c r="AJ35" s="69"/>
      <c r="AK35" s="69"/>
      <c r="AL35" s="69"/>
      <c r="AM35" s="69"/>
      <c r="AN35" s="69"/>
      <c r="AO35" s="69"/>
      <c r="AP35" s="69"/>
    </row>
    <row r="47" spans="2:42" x14ac:dyDescent="0.2">
      <c r="M47" s="131">
        <v>123900</v>
      </c>
    </row>
    <row r="48" spans="2:42" x14ac:dyDescent="0.2">
      <c r="M48" s="131">
        <v>18360</v>
      </c>
    </row>
    <row r="49" spans="13:13" x14ac:dyDescent="0.2">
      <c r="M49" s="131">
        <v>142260</v>
      </c>
    </row>
    <row r="50" spans="13:13" x14ac:dyDescent="0.2">
      <c r="M50" s="131">
        <v>13260</v>
      </c>
    </row>
    <row r="51" spans="13:13" x14ac:dyDescent="0.2">
      <c r="M51" s="131">
        <f>M50/M49</f>
        <v>9.3209616195698022E-2</v>
      </c>
    </row>
    <row r="52" spans="13:13" x14ac:dyDescent="0.2">
      <c r="M52" s="131">
        <f>M50/M49</f>
        <v>9.3209616195698022E-2</v>
      </c>
    </row>
    <row r="54" spans="13:13" x14ac:dyDescent="0.2">
      <c r="M54" s="131">
        <f>M49*0.08</f>
        <v>11380.800000000001</v>
      </c>
    </row>
    <row r="55" spans="13:13" x14ac:dyDescent="0.2">
      <c r="M55" s="131">
        <f>M50-M54</f>
        <v>1879.1999999999989</v>
      </c>
    </row>
  </sheetData>
  <mergeCells count="16">
    <mergeCell ref="AN2:AP2"/>
    <mergeCell ref="B16:C16"/>
    <mergeCell ref="B27:C27"/>
    <mergeCell ref="B33:C33"/>
    <mergeCell ref="V2:X2"/>
    <mergeCell ref="Y2:AA2"/>
    <mergeCell ref="AB2:AD2"/>
    <mergeCell ref="AE2:AG2"/>
    <mergeCell ref="AH2:AJ2"/>
    <mergeCell ref="AK2:AM2"/>
    <mergeCell ref="D2:F2"/>
    <mergeCell ref="G2:I2"/>
    <mergeCell ref="J2:L2"/>
    <mergeCell ref="M2:O2"/>
    <mergeCell ref="P2:R2"/>
    <mergeCell ref="S2:U2"/>
  </mergeCells>
  <pageMargins left="0.5" right="0.2" top="0.75" bottom="0.75" header="0.3" footer="0.3"/>
  <pageSetup scale="50" orientation="landscape" horizontalDpi="300" verticalDpi="300" r:id="rId1"/>
  <colBreaks count="3" manualBreakCount="3">
    <brk id="15" max="33" man="1"/>
    <brk id="24" max="33" man="1"/>
    <brk id="33"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E9C2-80B6-0647-B4EF-A0CA772C4057}">
  <sheetPr>
    <tabColor theme="6"/>
  </sheetPr>
  <dimension ref="A1:AA41"/>
  <sheetViews>
    <sheetView topLeftCell="I1" workbookViewId="0">
      <selection activeCell="B2" sqref="B2"/>
    </sheetView>
  </sheetViews>
  <sheetFormatPr baseColWidth="10" defaultColWidth="19" defaultRowHeight="16" x14ac:dyDescent="0.2"/>
  <cols>
    <col min="1" max="1" width="49.33203125" style="5" bestFit="1" customWidth="1"/>
    <col min="2" max="2" width="32.83203125" style="5" bestFit="1" customWidth="1"/>
    <col min="3" max="6" width="15" style="5" bestFit="1" customWidth="1"/>
    <col min="7" max="7" width="14" style="5" bestFit="1" customWidth="1"/>
    <col min="8" max="14" width="15" style="5" bestFit="1" customWidth="1"/>
    <col min="15" max="15" width="8.33203125" style="5" customWidth="1"/>
    <col min="16" max="27" width="16.6640625" style="5" bestFit="1" customWidth="1"/>
    <col min="28" max="16384" width="19" style="5"/>
  </cols>
  <sheetData>
    <row r="1" spans="1:27" x14ac:dyDescent="0.2">
      <c r="A1" s="1" t="s">
        <v>89</v>
      </c>
    </row>
    <row r="2" spans="1:27" x14ac:dyDescent="0.2">
      <c r="A2" s="2"/>
    </row>
    <row r="3" spans="1:27" x14ac:dyDescent="0.2">
      <c r="A3" s="2" t="s">
        <v>15</v>
      </c>
    </row>
    <row r="5" spans="1:27" s="4" customFormat="1" x14ac:dyDescent="0.2">
      <c r="A5" s="4" t="s">
        <v>88</v>
      </c>
      <c r="B5" s="4" t="s">
        <v>12</v>
      </c>
      <c r="O5" s="4" t="s">
        <v>13</v>
      </c>
    </row>
    <row r="6" spans="1:27" s="11" customFormat="1" x14ac:dyDescent="0.2">
      <c r="A6" s="11" t="s">
        <v>10</v>
      </c>
      <c r="B6" s="11">
        <v>2015</v>
      </c>
      <c r="C6" s="11">
        <v>2016</v>
      </c>
      <c r="D6" s="11">
        <v>2017</v>
      </c>
      <c r="E6" s="11">
        <v>2018</v>
      </c>
      <c r="F6" s="11">
        <v>2019</v>
      </c>
      <c r="G6" s="11">
        <v>2020</v>
      </c>
      <c r="H6" s="11">
        <v>2021</v>
      </c>
      <c r="I6" s="11">
        <v>2022</v>
      </c>
      <c r="J6" s="11">
        <v>2023</v>
      </c>
      <c r="K6" s="11">
        <v>2024</v>
      </c>
      <c r="L6" s="11">
        <v>2025</v>
      </c>
      <c r="M6" s="11">
        <v>2026</v>
      </c>
      <c r="N6" s="11">
        <v>2027</v>
      </c>
      <c r="O6" s="11">
        <v>2015</v>
      </c>
      <c r="P6" s="11">
        <v>2016</v>
      </c>
      <c r="Q6" s="11">
        <v>2017</v>
      </c>
      <c r="R6" s="11">
        <v>2018</v>
      </c>
      <c r="S6" s="11">
        <v>2019</v>
      </c>
      <c r="T6" s="11">
        <v>2020</v>
      </c>
      <c r="U6" s="11">
        <v>2021</v>
      </c>
      <c r="V6" s="11">
        <v>2022</v>
      </c>
      <c r="W6" s="11">
        <v>2023</v>
      </c>
      <c r="X6" s="11">
        <v>2024</v>
      </c>
      <c r="Y6" s="11">
        <v>2025</v>
      </c>
      <c r="Z6" s="11">
        <v>2026</v>
      </c>
      <c r="AA6" s="11">
        <v>2027</v>
      </c>
    </row>
    <row r="7" spans="1:27" x14ac:dyDescent="0.2">
      <c r="A7" s="4" t="s">
        <v>61</v>
      </c>
      <c r="B7" s="5">
        <v>9951836.8484807815</v>
      </c>
      <c r="C7" s="5">
        <v>22425225.534179948</v>
      </c>
      <c r="D7" s="5">
        <v>16479267.013996076</v>
      </c>
      <c r="E7" s="5">
        <v>17412373.710866928</v>
      </c>
      <c r="F7" s="5">
        <v>17912663.672499344</v>
      </c>
      <c r="G7" s="5">
        <v>16342654.21875339</v>
      </c>
      <c r="H7" s="5">
        <v>19000000.367998771</v>
      </c>
      <c r="I7" s="5">
        <v>16312044.811476562</v>
      </c>
      <c r="J7" s="5">
        <v>14757273.58</v>
      </c>
      <c r="K7" s="5">
        <v>15105763.067518454</v>
      </c>
      <c r="L7" s="5">
        <v>15407878.328868825</v>
      </c>
      <c r="M7" s="5">
        <v>15716035.895446196</v>
      </c>
      <c r="N7" s="5">
        <v>16030356.613355126</v>
      </c>
      <c r="O7" s="5">
        <v>160159915.21721172</v>
      </c>
      <c r="P7" s="5">
        <v>385374577.35000002</v>
      </c>
      <c r="Q7" s="5">
        <v>386606187.34990221</v>
      </c>
      <c r="R7" s="5">
        <v>406428030.75409502</v>
      </c>
      <c r="S7" s="5">
        <v>418736421.09250087</v>
      </c>
      <c r="T7" s="5">
        <v>364790297.13445961</v>
      </c>
      <c r="U7" s="5">
        <v>420488166.72000003</v>
      </c>
      <c r="V7" s="5">
        <v>361816774.9683671</v>
      </c>
      <c r="W7" s="5">
        <v>308435483.39999998</v>
      </c>
      <c r="X7" s="5">
        <v>315719113.60173631</v>
      </c>
      <c r="Y7" s="5">
        <v>322033495.87377101</v>
      </c>
      <c r="Z7" s="5">
        <v>328474165.79124641</v>
      </c>
      <c r="AA7" s="5">
        <v>335043649.1070714</v>
      </c>
    </row>
    <row r="8" spans="1:27" x14ac:dyDescent="0.2">
      <c r="A8" s="4" t="s">
        <v>62</v>
      </c>
      <c r="B8" s="5">
        <v>9951836.8484807815</v>
      </c>
      <c r="C8" s="5">
        <v>19400697.534179948</v>
      </c>
      <c r="D8" s="5">
        <v>13941718.213996075</v>
      </c>
      <c r="E8" s="5">
        <v>14524242.510866929</v>
      </c>
      <c r="F8" s="5">
        <v>15004646.600499697</v>
      </c>
      <c r="G8" s="5">
        <v>11965048.385314409</v>
      </c>
      <c r="H8" s="5">
        <v>13548816.120000012</v>
      </c>
      <c r="I8" s="5">
        <v>11713610.279620321</v>
      </c>
      <c r="J8" s="5">
        <v>7759125</v>
      </c>
      <c r="K8" s="5">
        <v>7942354.8818737231</v>
      </c>
      <c r="L8" s="5">
        <v>8101201.9795111986</v>
      </c>
      <c r="M8" s="5">
        <v>8263226.0191014195</v>
      </c>
      <c r="N8" s="5">
        <v>8428490.5394834504</v>
      </c>
      <c r="O8" s="5">
        <v>160159915.21721172</v>
      </c>
      <c r="P8" s="5">
        <v>340006657.35000002</v>
      </c>
      <c r="Q8" s="5">
        <v>348542955.34990221</v>
      </c>
      <c r="R8" s="5">
        <v>363106062.75409502</v>
      </c>
      <c r="S8" s="5">
        <v>375116165.01249295</v>
      </c>
      <c r="T8" s="5">
        <v>299126209.63285995</v>
      </c>
      <c r="U8" s="5">
        <v>338720403</v>
      </c>
      <c r="V8" s="5">
        <v>292840256.99050778</v>
      </c>
      <c r="W8" s="5">
        <v>193978125</v>
      </c>
      <c r="X8" s="5">
        <v>198558872.04684311</v>
      </c>
      <c r="Y8" s="5">
        <v>202530049.48777995</v>
      </c>
      <c r="Z8" s="5">
        <v>206580650.47753552</v>
      </c>
      <c r="AA8" s="5">
        <v>210712263.48708627</v>
      </c>
    </row>
    <row r="9" spans="1:27" x14ac:dyDescent="0.2">
      <c r="A9" s="4" t="s">
        <v>80</v>
      </c>
      <c r="B9" s="5" t="s">
        <v>79</v>
      </c>
      <c r="C9" s="5" t="s">
        <v>79</v>
      </c>
      <c r="D9" s="5" t="s">
        <v>79</v>
      </c>
      <c r="E9" s="5" t="s">
        <v>79</v>
      </c>
      <c r="F9" s="5" t="s">
        <v>79</v>
      </c>
      <c r="G9" s="5" t="s">
        <v>79</v>
      </c>
      <c r="H9" s="5" t="s">
        <v>79</v>
      </c>
      <c r="I9" s="5" t="s">
        <v>79</v>
      </c>
      <c r="J9" s="5">
        <v>826548.58</v>
      </c>
      <c r="K9" s="5">
        <v>846067.32711082662</v>
      </c>
      <c r="L9" s="5">
        <v>862988.67365304334</v>
      </c>
      <c r="M9" s="5">
        <v>880248.44712610415</v>
      </c>
      <c r="N9" s="5">
        <v>897853.41606862633</v>
      </c>
      <c r="O9" s="5" t="s">
        <v>79</v>
      </c>
      <c r="P9" s="5" t="s">
        <v>79</v>
      </c>
      <c r="Q9" s="5" t="s">
        <v>79</v>
      </c>
      <c r="R9" s="5" t="s">
        <v>79</v>
      </c>
      <c r="S9" s="5" t="s">
        <v>79</v>
      </c>
      <c r="T9" s="5" t="s">
        <v>79</v>
      </c>
      <c r="U9" s="5" t="s">
        <v>79</v>
      </c>
      <c r="V9" s="5" t="s">
        <v>79</v>
      </c>
      <c r="W9" s="5">
        <v>21883358.399999999</v>
      </c>
      <c r="X9" s="5">
        <v>22400128.676884614</v>
      </c>
      <c r="Y9" s="5">
        <v>22848131.25042231</v>
      </c>
      <c r="Z9" s="5">
        <v>23305093.875430752</v>
      </c>
      <c r="AA9" s="5">
        <v>23771195.752939373</v>
      </c>
    </row>
    <row r="10" spans="1:27" x14ac:dyDescent="0.2">
      <c r="A10" s="4" t="s">
        <v>63</v>
      </c>
      <c r="B10" s="5">
        <v>0</v>
      </c>
      <c r="C10" s="5">
        <v>3024528</v>
      </c>
      <c r="D10" s="5">
        <v>2537548.7999999998</v>
      </c>
      <c r="E10" s="5">
        <v>2888131.1999999997</v>
      </c>
      <c r="F10" s="5">
        <v>2908017.0719996453</v>
      </c>
      <c r="G10" s="5">
        <v>4377605.8334389813</v>
      </c>
      <c r="H10" s="5">
        <v>5451184.2479987592</v>
      </c>
      <c r="I10" s="5">
        <v>4598434.5318562398</v>
      </c>
      <c r="J10" s="5">
        <v>6171600</v>
      </c>
      <c r="K10" s="5">
        <v>6317340.858533903</v>
      </c>
      <c r="L10" s="5">
        <v>6443687.6757045826</v>
      </c>
      <c r="M10" s="5">
        <v>6572561.4292186731</v>
      </c>
      <c r="N10" s="5">
        <v>6704012.6578030484</v>
      </c>
      <c r="O10" s="5">
        <v>0</v>
      </c>
      <c r="P10" s="5">
        <v>45367920</v>
      </c>
      <c r="Q10" s="5">
        <v>38063232</v>
      </c>
      <c r="R10" s="5">
        <v>43321968</v>
      </c>
      <c r="S10" s="5">
        <v>43620256.080007896</v>
      </c>
      <c r="T10" s="5">
        <v>65664087.501599669</v>
      </c>
      <c r="U10" s="5">
        <v>81767763.719999999</v>
      </c>
      <c r="V10" s="5">
        <v>68976517.977859303</v>
      </c>
      <c r="W10" s="5">
        <v>92574000</v>
      </c>
      <c r="X10" s="5">
        <v>94760112.878008544</v>
      </c>
      <c r="Y10" s="5">
        <v>96655315.135568753</v>
      </c>
      <c r="Z10" s="5">
        <v>98588421.43828012</v>
      </c>
      <c r="AA10" s="5">
        <v>100560189.86704573</v>
      </c>
    </row>
    <row r="11" spans="1:27" x14ac:dyDescent="0.2">
      <c r="A11" s="4" t="s">
        <v>64</v>
      </c>
      <c r="B11" s="5">
        <v>6582427.0285207825</v>
      </c>
      <c r="C11" s="5">
        <v>7945181.1859988477</v>
      </c>
      <c r="D11" s="5">
        <v>6876603.4619460003</v>
      </c>
      <c r="E11" s="5">
        <v>8738622.5618033316</v>
      </c>
      <c r="F11" s="5">
        <v>9368114.998006776</v>
      </c>
      <c r="G11" s="5">
        <v>7503667.3004992474</v>
      </c>
      <c r="H11" s="5">
        <v>8051349.5527442414</v>
      </c>
      <c r="I11" s="5">
        <v>8644312.8183478378</v>
      </c>
      <c r="J11" s="5">
        <v>7888399.9199999999</v>
      </c>
      <c r="K11" s="5">
        <v>8046168.1672967039</v>
      </c>
      <c r="L11" s="5">
        <v>8207091.530642638</v>
      </c>
      <c r="M11" s="5">
        <v>8371233.3612554912</v>
      </c>
      <c r="N11" s="5">
        <v>8538658.0284806006</v>
      </c>
      <c r="O11" s="5">
        <v>144217403.86570001</v>
      </c>
      <c r="P11" s="5">
        <v>178343299</v>
      </c>
      <c r="Q11" s="5">
        <v>145581118.13295996</v>
      </c>
      <c r="R11" s="5">
        <v>188253945.605775</v>
      </c>
      <c r="S11" s="5">
        <v>195299414.12989578</v>
      </c>
      <c r="T11" s="5">
        <v>153150710.60516173</v>
      </c>
      <c r="U11" s="5">
        <v>164425000</v>
      </c>
      <c r="V11" s="5">
        <v>176270742.25897419</v>
      </c>
      <c r="W11" s="5">
        <v>164914978.40000001</v>
      </c>
      <c r="X11" s="5">
        <v>168213282.67423722</v>
      </c>
      <c r="Y11" s="5">
        <v>171577548.32772198</v>
      </c>
      <c r="Z11" s="5">
        <v>175009099.29427642</v>
      </c>
      <c r="AA11" s="5">
        <v>178509281.28016192</v>
      </c>
    </row>
    <row r="12" spans="1:27" x14ac:dyDescent="0.2">
      <c r="A12" s="4" t="s">
        <v>51</v>
      </c>
      <c r="B12" s="5">
        <v>2564686.1477007838</v>
      </c>
      <c r="C12" s="5">
        <v>2986886.3010001075</v>
      </c>
      <c r="D12" s="5">
        <v>1987483.8803859993</v>
      </c>
      <c r="E12" s="5">
        <v>1975649.6736833346</v>
      </c>
      <c r="F12" s="5">
        <v>3429761.9356667772</v>
      </c>
      <c r="G12" s="5">
        <v>3076045.9274512473</v>
      </c>
      <c r="H12" s="5">
        <v>3377294.9571003472</v>
      </c>
      <c r="I12" s="5">
        <v>3415256.747264694</v>
      </c>
      <c r="J12" s="5">
        <v>2872795.92</v>
      </c>
      <c r="K12" s="5">
        <v>2930251.7784464778</v>
      </c>
      <c r="L12" s="5">
        <v>2988856.8140154076</v>
      </c>
      <c r="M12" s="5">
        <v>3048633.9502957156</v>
      </c>
      <c r="N12" s="5">
        <v>3109606.6293016304</v>
      </c>
      <c r="O12" s="5">
        <v>63914689.652000003</v>
      </c>
      <c r="P12" s="5">
        <v>74568955.430000007</v>
      </c>
      <c r="Q12" s="5">
        <v>49426768.933909968</v>
      </c>
      <c r="R12" s="5">
        <v>47793724.995500013</v>
      </c>
      <c r="S12" s="5">
        <v>78764396.47714898</v>
      </c>
      <c r="T12" s="5">
        <v>65054010.13503404</v>
      </c>
      <c r="U12" s="5">
        <v>71425000</v>
      </c>
      <c r="V12" s="5">
        <v>72227838.039593801</v>
      </c>
      <c r="W12" s="5">
        <v>66089226.399999999</v>
      </c>
      <c r="X12" s="5">
        <v>67411009.548757613</v>
      </c>
      <c r="Y12" s="5">
        <v>68759229.739732772</v>
      </c>
      <c r="Z12" s="5">
        <v>70134414.334527433</v>
      </c>
      <c r="AA12" s="5">
        <v>71537102.621217981</v>
      </c>
    </row>
    <row r="13" spans="1:27" x14ac:dyDescent="0.2">
      <c r="A13" s="4" t="s">
        <v>65</v>
      </c>
      <c r="B13" s="5">
        <v>4017740.8808199987</v>
      </c>
      <c r="C13" s="5">
        <v>4958294.8849987406</v>
      </c>
      <c r="D13" s="5">
        <v>4889119.5815600008</v>
      </c>
      <c r="E13" s="5">
        <v>6762972.8881199965</v>
      </c>
      <c r="F13" s="5">
        <v>5938353.0623399979</v>
      </c>
      <c r="G13" s="5">
        <v>4427621.373048</v>
      </c>
      <c r="H13" s="5">
        <v>4674054.5956438938</v>
      </c>
      <c r="I13" s="5">
        <v>5229056.0710831443</v>
      </c>
      <c r="J13" s="5">
        <v>5015604</v>
      </c>
      <c r="K13" s="5">
        <v>5115916.3888502261</v>
      </c>
      <c r="L13" s="5">
        <v>5218234.7166272309</v>
      </c>
      <c r="M13" s="5">
        <v>5322599.4109597756</v>
      </c>
      <c r="N13" s="5">
        <v>5429051.3991789706</v>
      </c>
      <c r="O13" s="5">
        <v>80302714.213699996</v>
      </c>
      <c r="P13" s="5">
        <v>103774343.56999999</v>
      </c>
      <c r="Q13" s="5">
        <v>96154349.199049979</v>
      </c>
      <c r="R13" s="5">
        <v>140460220.610275</v>
      </c>
      <c r="S13" s="5">
        <v>116535017.6527468</v>
      </c>
      <c r="T13" s="5">
        <v>88096700.470127702</v>
      </c>
      <c r="U13" s="5">
        <v>93000000</v>
      </c>
      <c r="V13" s="5">
        <v>104042904.21938039</v>
      </c>
      <c r="W13" s="5">
        <v>98825752</v>
      </c>
      <c r="X13" s="5">
        <v>100802273.12547961</v>
      </c>
      <c r="Y13" s="5">
        <v>102818318.58798921</v>
      </c>
      <c r="Z13" s="5">
        <v>104874684.959749</v>
      </c>
      <c r="AA13" s="5">
        <v>106972178.65894395</v>
      </c>
    </row>
    <row r="14" spans="1:27" x14ac:dyDescent="0.2">
      <c r="A14" s="4" t="s">
        <v>0</v>
      </c>
      <c r="B14" s="5">
        <v>42099502.022496313</v>
      </c>
      <c r="C14" s="5">
        <v>27627014.57625322</v>
      </c>
      <c r="D14" s="5">
        <v>30614254.215740435</v>
      </c>
      <c r="E14" s="5">
        <v>32553508.008828916</v>
      </c>
      <c r="F14" s="5">
        <v>33975843.711380303</v>
      </c>
      <c r="G14" s="5">
        <v>17250507.136436969</v>
      </c>
      <c r="H14" s="5">
        <v>18217398.709062651</v>
      </c>
      <c r="I14" s="5">
        <v>18529098.861108076</v>
      </c>
      <c r="J14" s="5">
        <v>24355343.751247998</v>
      </c>
      <c r="K14" s="5">
        <v>24736794.423300501</v>
      </c>
      <c r="L14" s="5">
        <v>25231530.311766513</v>
      </c>
      <c r="M14" s="5">
        <v>25736160.918001845</v>
      </c>
      <c r="N14" s="5">
        <v>26250884.13636189</v>
      </c>
      <c r="O14" s="5">
        <v>750759380.18023992</v>
      </c>
      <c r="P14" s="5">
        <v>496815274.2173</v>
      </c>
      <c r="Q14" s="5">
        <v>539165074.73167074</v>
      </c>
      <c r="R14" s="5">
        <v>599987102.86610258</v>
      </c>
      <c r="S14" s="5">
        <v>592673029.68643582</v>
      </c>
      <c r="T14" s="5">
        <v>305448584.86085707</v>
      </c>
      <c r="U14" s="5">
        <v>305510000</v>
      </c>
      <c r="V14" s="5">
        <v>314450587.90537423</v>
      </c>
      <c r="W14" s="5">
        <v>416796418.73906147</v>
      </c>
      <c r="X14" s="5">
        <v>423324237.671157</v>
      </c>
      <c r="Y14" s="5">
        <v>431790722.42458016</v>
      </c>
      <c r="Z14" s="5">
        <v>440426536.87307179</v>
      </c>
      <c r="AA14" s="5">
        <v>449235067.61053336</v>
      </c>
    </row>
    <row r="15" spans="1:27" x14ac:dyDescent="0.2">
      <c r="A15" s="4" t="s">
        <v>81</v>
      </c>
      <c r="B15" s="5">
        <v>26742503.291294374</v>
      </c>
      <c r="C15" s="5">
        <v>11140276.064000491</v>
      </c>
      <c r="D15" s="5">
        <v>12271097.955181235</v>
      </c>
      <c r="E15" s="5">
        <v>12920774.464744108</v>
      </c>
      <c r="F15" s="5">
        <v>10612290.975120431</v>
      </c>
      <c r="G15" s="5">
        <v>12108514.842118688</v>
      </c>
      <c r="H15" s="5">
        <v>9952533.6650071051</v>
      </c>
      <c r="I15" s="5">
        <v>10735958.039968709</v>
      </c>
      <c r="J15" s="5">
        <v>17051253.660999998</v>
      </c>
      <c r="K15" s="5">
        <v>17318308.490312062</v>
      </c>
      <c r="L15" s="5">
        <v>17664674.660118304</v>
      </c>
      <c r="M15" s="5">
        <v>18017968.15332067</v>
      </c>
      <c r="N15" s="5">
        <v>18378327.516387086</v>
      </c>
      <c r="O15" s="5">
        <v>463338057.98993278</v>
      </c>
      <c r="P15" s="5">
        <v>206689320.02399999</v>
      </c>
      <c r="Q15" s="5">
        <v>216961518.48871374</v>
      </c>
      <c r="R15" s="5">
        <v>250811449.51656106</v>
      </c>
      <c r="S15" s="5">
        <v>198417304.70116073</v>
      </c>
      <c r="T15" s="5">
        <v>234687225.55112633</v>
      </c>
      <c r="U15" s="5">
        <v>192900000</v>
      </c>
      <c r="V15" s="5">
        <v>208084330.64551565</v>
      </c>
      <c r="W15" s="5">
        <v>320361058.85854143</v>
      </c>
      <c r="X15" s="5">
        <v>325378517.96111649</v>
      </c>
      <c r="Y15" s="5">
        <v>331886088.32033879</v>
      </c>
      <c r="Z15" s="5">
        <v>338523810.08674556</v>
      </c>
      <c r="AA15" s="5">
        <v>345294286.28848058</v>
      </c>
    </row>
    <row r="16" spans="1:27" x14ac:dyDescent="0.2">
      <c r="A16" s="4" t="s">
        <v>82</v>
      </c>
      <c r="B16" s="5">
        <v>15356998.731201941</v>
      </c>
      <c r="C16" s="5">
        <v>11209165.512252729</v>
      </c>
      <c r="D16" s="5">
        <v>12686319.662559202</v>
      </c>
      <c r="E16" s="5">
        <v>12450427.226084804</v>
      </c>
      <c r="F16" s="5">
        <v>10700579.836259887</v>
      </c>
      <c r="G16" s="5">
        <v>2383218.4199582832</v>
      </c>
      <c r="H16" s="5">
        <v>2992471.9307936369</v>
      </c>
      <c r="I16" s="5">
        <v>2985960.5947869825</v>
      </c>
      <c r="J16" s="5">
        <v>1734187.0548720004</v>
      </c>
      <c r="K16" s="5">
        <v>1761347.6987250268</v>
      </c>
      <c r="L16" s="5">
        <v>1796574.6526995278</v>
      </c>
      <c r="M16" s="5">
        <v>1832506.1457535182</v>
      </c>
      <c r="N16" s="5">
        <v>1869156.2686685894</v>
      </c>
      <c r="O16" s="5">
        <v>287421322.1903072</v>
      </c>
      <c r="P16" s="5">
        <v>210962359.19330001</v>
      </c>
      <c r="Q16" s="5">
        <v>237351007.27295703</v>
      </c>
      <c r="R16" s="5">
        <v>241441040.59954154</v>
      </c>
      <c r="S16" s="5">
        <v>204655089.88527513</v>
      </c>
      <c r="T16" s="5">
        <v>34404678.848530754</v>
      </c>
      <c r="U16" s="5">
        <v>43200000</v>
      </c>
      <c r="V16" s="5">
        <v>43106000.884221204</v>
      </c>
      <c r="W16" s="5">
        <v>25102822.119079996</v>
      </c>
      <c r="X16" s="5">
        <v>25495979.713796638</v>
      </c>
      <c r="Y16" s="5">
        <v>26005899.308072574</v>
      </c>
      <c r="Z16" s="5">
        <v>26526017.294234022</v>
      </c>
      <c r="AA16" s="5">
        <v>27056537.640118714</v>
      </c>
    </row>
    <row r="17" spans="1:27" s="18" customFormat="1" x14ac:dyDescent="0.2">
      <c r="A17" s="26" t="s">
        <v>3</v>
      </c>
      <c r="B17" s="18">
        <v>0</v>
      </c>
      <c r="C17" s="18">
        <v>5277573.0000000009</v>
      </c>
      <c r="D17" s="18">
        <v>5656836.5979999956</v>
      </c>
      <c r="E17" s="18">
        <v>7182306.3180000018</v>
      </c>
      <c r="F17" s="18">
        <v>12548320.09999999</v>
      </c>
      <c r="G17" s="18">
        <v>2013696.9500000002</v>
      </c>
      <c r="H17" s="18">
        <v>3955319.2870437708</v>
      </c>
      <c r="I17" s="18">
        <v>3643588.1167019112</v>
      </c>
      <c r="J17" s="18">
        <v>3542143.6025160011</v>
      </c>
      <c r="K17" s="18">
        <v>3597620.2597738965</v>
      </c>
      <c r="L17" s="18">
        <v>3669572.6649693749</v>
      </c>
      <c r="M17" s="18">
        <v>3742964.1182687627</v>
      </c>
      <c r="N17" s="18">
        <v>3817823.4006341384</v>
      </c>
      <c r="O17" s="18">
        <v>0</v>
      </c>
      <c r="P17" s="18">
        <v>79163595</v>
      </c>
      <c r="Q17" s="18">
        <v>84852548.969999999</v>
      </c>
      <c r="R17" s="18">
        <v>107734612.75</v>
      </c>
      <c r="S17" s="18">
        <v>188224801.5</v>
      </c>
      <c r="T17" s="18">
        <v>26168310.5</v>
      </c>
      <c r="U17" s="18">
        <v>51400000</v>
      </c>
      <c r="V17" s="18">
        <v>47349004.115026265</v>
      </c>
      <c r="W17" s="18">
        <v>46309451.704240009</v>
      </c>
      <c r="X17" s="18">
        <v>47034745.161617711</v>
      </c>
      <c r="Y17" s="18">
        <v>47975440.064850077</v>
      </c>
      <c r="Z17" s="18">
        <v>48934948.866147093</v>
      </c>
      <c r="AA17" s="18">
        <v>49913647.843470044</v>
      </c>
    </row>
    <row r="18" spans="1:27" x14ac:dyDescent="0.2">
      <c r="A18" s="4" t="s">
        <v>4</v>
      </c>
      <c r="B18" s="5">
        <v>0</v>
      </c>
      <c r="C18" s="5">
        <v>0</v>
      </c>
      <c r="D18" s="5">
        <v>0</v>
      </c>
      <c r="E18" s="5">
        <v>0</v>
      </c>
      <c r="F18" s="5">
        <v>114652.80000000002</v>
      </c>
      <c r="G18" s="5">
        <v>745076.9243599996</v>
      </c>
      <c r="H18" s="5">
        <v>1317073.8262181345</v>
      </c>
      <c r="I18" s="5">
        <v>1163592.1096504743</v>
      </c>
      <c r="J18" s="5">
        <v>2027759.4328599998</v>
      </c>
      <c r="K18" s="5">
        <v>2059517.9744895189</v>
      </c>
      <c r="L18" s="5">
        <v>2100708.3339793091</v>
      </c>
      <c r="M18" s="5">
        <v>2142722.5006588954</v>
      </c>
      <c r="N18" s="5">
        <v>2185576.9506720733</v>
      </c>
      <c r="O18" s="5">
        <v>0</v>
      </c>
      <c r="P18" s="5">
        <v>0</v>
      </c>
      <c r="Q18" s="5">
        <v>0</v>
      </c>
      <c r="R18" s="5">
        <v>0</v>
      </c>
      <c r="S18" s="5">
        <v>1375833.6</v>
      </c>
      <c r="T18" s="5">
        <v>10188369.961200001</v>
      </c>
      <c r="U18" s="5">
        <v>18010000</v>
      </c>
      <c r="V18" s="5">
        <v>15911252.260611128</v>
      </c>
      <c r="W18" s="5">
        <v>25023086.0572</v>
      </c>
      <c r="X18" s="5">
        <v>25414994.834626205</v>
      </c>
      <c r="Y18" s="5">
        <v>25923294.731318731</v>
      </c>
      <c r="Z18" s="5">
        <v>26441760.625945102</v>
      </c>
      <c r="AA18" s="5">
        <v>26970595.838464011</v>
      </c>
    </row>
    <row r="19" spans="1:27" x14ac:dyDescent="0.2">
      <c r="A19" s="4" t="s">
        <v>66</v>
      </c>
      <c r="B19" s="5">
        <v>47707957.260215506</v>
      </c>
      <c r="C19" s="5">
        <v>41722203.174254745</v>
      </c>
      <c r="D19" s="5">
        <v>50465805.954413489</v>
      </c>
      <c r="E19" s="5">
        <v>41624375.558748767</v>
      </c>
      <c r="F19" s="5">
        <v>47352182.070309728</v>
      </c>
      <c r="G19" s="5">
        <v>41774356.220088109</v>
      </c>
      <c r="H19" s="5">
        <v>46281018.878169589</v>
      </c>
      <c r="I19" s="5">
        <v>47226381.203223191</v>
      </c>
      <c r="J19" s="5">
        <v>50376897.29999999</v>
      </c>
      <c r="K19" s="5">
        <v>51384435.245999992</v>
      </c>
      <c r="L19" s="5">
        <v>52412123.950919986</v>
      </c>
      <c r="M19" s="5">
        <v>53460366.429938391</v>
      </c>
      <c r="N19" s="5">
        <v>54529573.758537158</v>
      </c>
      <c r="O19" s="5">
        <v>727565683.8121798</v>
      </c>
      <c r="P19" s="5">
        <v>656138741</v>
      </c>
      <c r="Q19" s="5">
        <v>771529283.42942262</v>
      </c>
      <c r="R19" s="5">
        <v>647849864.74608696</v>
      </c>
      <c r="S19" s="5">
        <v>796153785.96323812</v>
      </c>
      <c r="T19" s="5">
        <v>676419232.7549578</v>
      </c>
      <c r="U19" s="5">
        <v>749392070</v>
      </c>
      <c r="V19" s="5">
        <v>764699577.19937384</v>
      </c>
      <c r="W19" s="5">
        <v>766556318.54999983</v>
      </c>
      <c r="X19" s="5">
        <v>781887444.921</v>
      </c>
      <c r="Y19" s="5">
        <v>797525193.81941986</v>
      </c>
      <c r="Z19" s="5">
        <v>813475697.69580817</v>
      </c>
      <c r="AA19" s="5">
        <v>829745211.64972436</v>
      </c>
    </row>
    <row r="20" spans="1:27" x14ac:dyDescent="0.2">
      <c r="A20" s="4" t="s">
        <v>83</v>
      </c>
      <c r="B20" s="5">
        <v>47707957.260215506</v>
      </c>
      <c r="C20" s="5">
        <v>41722203.174254745</v>
      </c>
      <c r="D20" s="5">
        <v>50465805.954413489</v>
      </c>
      <c r="E20" s="5">
        <v>41624375.558748767</v>
      </c>
      <c r="F20" s="5">
        <v>47352182.070309728</v>
      </c>
      <c r="G20" s="5">
        <v>41774356.220088109</v>
      </c>
      <c r="H20" s="5">
        <v>46281018.878169589</v>
      </c>
      <c r="I20" s="5">
        <v>47226381.203223191</v>
      </c>
      <c r="J20" s="5">
        <v>50376897.29999999</v>
      </c>
      <c r="K20" s="5">
        <v>51384435.245999992</v>
      </c>
      <c r="L20" s="5">
        <v>52412123.950919986</v>
      </c>
      <c r="M20" s="5">
        <v>53460366.429938391</v>
      </c>
      <c r="N20" s="5">
        <v>54529573.758537158</v>
      </c>
      <c r="O20" s="5">
        <v>727565683.8121798</v>
      </c>
      <c r="P20" s="5">
        <v>656138741</v>
      </c>
      <c r="Q20" s="5">
        <v>771529283.42942262</v>
      </c>
      <c r="R20" s="5">
        <v>647849864.74608696</v>
      </c>
      <c r="S20" s="5">
        <v>796153785.96323812</v>
      </c>
      <c r="T20" s="5">
        <v>676419232.7549578</v>
      </c>
      <c r="U20" s="5">
        <v>749392070</v>
      </c>
      <c r="V20" s="5">
        <v>764699577.19937384</v>
      </c>
      <c r="W20" s="5">
        <v>766556318.54999983</v>
      </c>
      <c r="X20" s="5">
        <v>781887444.921</v>
      </c>
      <c r="Y20" s="5">
        <v>797525193.81941986</v>
      </c>
      <c r="Z20" s="5">
        <v>813475697.69580817</v>
      </c>
      <c r="AA20" s="5">
        <v>829745211.64972436</v>
      </c>
    </row>
    <row r="21" spans="1:27" x14ac:dyDescent="0.2">
      <c r="A21" s="4" t="s">
        <v>67</v>
      </c>
      <c r="B21" s="5">
        <v>66527557.478487238</v>
      </c>
      <c r="C21" s="5">
        <v>6772052.8758400446</v>
      </c>
      <c r="D21" s="5">
        <v>9474467.7015268821</v>
      </c>
      <c r="E21" s="5">
        <v>8055743.2063842816</v>
      </c>
      <c r="F21" s="5">
        <v>7046912.2795672212</v>
      </c>
      <c r="G21" s="5">
        <v>12213857.030827254</v>
      </c>
      <c r="H21" s="5">
        <v>11669216.489412386</v>
      </c>
      <c r="I21" s="5">
        <v>11229644.819440678</v>
      </c>
      <c r="J21" s="5">
        <v>9299999.6685200017</v>
      </c>
      <c r="K21" s="5">
        <v>9485999.6618904006</v>
      </c>
      <c r="L21" s="5">
        <v>9675719.6551282108</v>
      </c>
      <c r="M21" s="5">
        <v>9869234.0482307766</v>
      </c>
      <c r="N21" s="5">
        <v>10066618.729195392</v>
      </c>
      <c r="O21" s="5">
        <v>779427613.4076668</v>
      </c>
      <c r="P21" s="5">
        <v>79848302</v>
      </c>
      <c r="Q21" s="5">
        <v>125804114.88372159</v>
      </c>
      <c r="R21" s="5">
        <v>89196895.875495672</v>
      </c>
      <c r="S21" s="5">
        <v>72370191.664342701</v>
      </c>
      <c r="T21" s="5">
        <v>126647466.18344018</v>
      </c>
      <c r="U21" s="5">
        <v>121000000</v>
      </c>
      <c r="V21" s="5">
        <v>116442010</v>
      </c>
      <c r="W21" s="5">
        <v>92999996.685200006</v>
      </c>
      <c r="X21" s="5">
        <v>94859996.618903995</v>
      </c>
      <c r="Y21" s="5">
        <v>96757196.551282093</v>
      </c>
      <c r="Z21" s="5">
        <v>98692340.482307777</v>
      </c>
      <c r="AA21" s="5">
        <v>100666187.29195389</v>
      </c>
    </row>
    <row r="22" spans="1:27" x14ac:dyDescent="0.2">
      <c r="A22" s="4" t="s">
        <v>84</v>
      </c>
      <c r="B22" s="5">
        <v>66527557.478487238</v>
      </c>
      <c r="C22" s="5">
        <v>6772052.8758400446</v>
      </c>
      <c r="D22" s="5">
        <v>9474467.7015268821</v>
      </c>
      <c r="E22" s="5">
        <v>8055743.2063842816</v>
      </c>
      <c r="F22" s="5">
        <v>7046912.2795672212</v>
      </c>
      <c r="G22" s="5">
        <v>12213857.030827254</v>
      </c>
      <c r="H22" s="5">
        <v>11669216.489412386</v>
      </c>
      <c r="I22" s="5">
        <v>11229644.819440678</v>
      </c>
      <c r="J22" s="5">
        <v>9299999.6685200017</v>
      </c>
      <c r="K22" s="5">
        <v>9485999.6618904006</v>
      </c>
      <c r="L22" s="5">
        <v>9675719.6551282108</v>
      </c>
      <c r="M22" s="5">
        <v>9869234.0482307766</v>
      </c>
      <c r="N22" s="5">
        <v>10066618.729195392</v>
      </c>
      <c r="O22" s="5">
        <v>779427613.4076668</v>
      </c>
      <c r="P22" s="5">
        <v>79848302</v>
      </c>
      <c r="Q22" s="5">
        <v>125804114.88372159</v>
      </c>
      <c r="R22" s="5">
        <v>89196895.875495672</v>
      </c>
      <c r="S22" s="5">
        <v>72370191.664342701</v>
      </c>
      <c r="T22" s="5">
        <v>126647466.18344018</v>
      </c>
      <c r="U22" s="5">
        <v>121000000</v>
      </c>
      <c r="V22" s="5">
        <v>116442010</v>
      </c>
      <c r="W22" s="5">
        <v>92999996.685200006</v>
      </c>
      <c r="X22" s="5">
        <v>94859996.618903995</v>
      </c>
      <c r="Y22" s="5">
        <v>96757196.551282093</v>
      </c>
      <c r="Z22" s="5">
        <v>98692340.482307777</v>
      </c>
      <c r="AA22" s="5">
        <v>100666187.29195389</v>
      </c>
    </row>
    <row r="23" spans="1:27" x14ac:dyDescent="0.2">
      <c r="A23" s="4" t="s">
        <v>85</v>
      </c>
      <c r="B23" s="5">
        <v>0</v>
      </c>
      <c r="C23" s="5">
        <v>0</v>
      </c>
      <c r="D23" s="5">
        <v>0</v>
      </c>
      <c r="E23" s="5">
        <v>0</v>
      </c>
      <c r="F23" s="5">
        <v>0</v>
      </c>
      <c r="G23" s="5">
        <v>0</v>
      </c>
      <c r="H23" s="5">
        <v>0</v>
      </c>
      <c r="I23" s="5">
        <v>0</v>
      </c>
      <c r="J23" s="5">
        <v>0</v>
      </c>
      <c r="K23" s="5">
        <v>125000</v>
      </c>
      <c r="L23" s="5">
        <v>250000</v>
      </c>
      <c r="M23" s="5">
        <v>0</v>
      </c>
      <c r="N23" s="5">
        <v>0</v>
      </c>
      <c r="O23" s="5">
        <v>0</v>
      </c>
      <c r="P23" s="5">
        <v>0</v>
      </c>
      <c r="Q23" s="5">
        <v>0</v>
      </c>
      <c r="R23" s="5">
        <v>0</v>
      </c>
      <c r="S23" s="5">
        <v>0</v>
      </c>
      <c r="T23" s="5">
        <v>0</v>
      </c>
      <c r="U23" s="5">
        <v>0</v>
      </c>
      <c r="V23" s="5">
        <v>0</v>
      </c>
      <c r="W23" s="5">
        <v>0</v>
      </c>
      <c r="X23" s="5">
        <v>1250000</v>
      </c>
      <c r="Y23" s="5">
        <v>2500000</v>
      </c>
      <c r="Z23" s="5">
        <v>0</v>
      </c>
      <c r="AA23" s="5">
        <v>0</v>
      </c>
    </row>
    <row r="24" spans="1:27" x14ac:dyDescent="0.2">
      <c r="A24" s="4" t="s">
        <v>68</v>
      </c>
      <c r="B24" s="5">
        <v>0</v>
      </c>
      <c r="C24" s="5">
        <v>0</v>
      </c>
      <c r="D24" s="5">
        <v>0</v>
      </c>
      <c r="E24" s="5">
        <v>0</v>
      </c>
      <c r="F24" s="5">
        <v>0</v>
      </c>
      <c r="G24" s="5">
        <v>0</v>
      </c>
      <c r="H24" s="5">
        <v>0</v>
      </c>
      <c r="I24" s="5">
        <v>0</v>
      </c>
      <c r="J24" s="5">
        <v>0</v>
      </c>
      <c r="K24" s="5">
        <v>0</v>
      </c>
      <c r="L24" s="5">
        <v>0</v>
      </c>
      <c r="M24" s="5">
        <v>0</v>
      </c>
      <c r="N24" s="5">
        <v>0</v>
      </c>
      <c r="O24" s="5">
        <v>0</v>
      </c>
      <c r="P24" s="5">
        <v>0</v>
      </c>
      <c r="Q24" s="5">
        <v>0</v>
      </c>
      <c r="R24" s="5">
        <v>0</v>
      </c>
      <c r="S24" s="5">
        <v>0</v>
      </c>
      <c r="T24" s="5">
        <v>0</v>
      </c>
      <c r="U24" s="5">
        <v>0</v>
      </c>
      <c r="V24" s="5">
        <v>0</v>
      </c>
      <c r="W24" s="5">
        <v>0</v>
      </c>
      <c r="X24" s="5">
        <v>0</v>
      </c>
      <c r="Y24" s="5">
        <v>0</v>
      </c>
      <c r="Z24" s="5">
        <v>0</v>
      </c>
      <c r="AA24" s="5">
        <v>0</v>
      </c>
    </row>
    <row r="25" spans="1:27" x14ac:dyDescent="0.2">
      <c r="A25" s="4" t="s">
        <v>52</v>
      </c>
      <c r="B25" s="5">
        <v>0</v>
      </c>
      <c r="C25" s="5">
        <v>0</v>
      </c>
      <c r="D25" s="5">
        <v>0</v>
      </c>
      <c r="E25" s="5">
        <v>0</v>
      </c>
      <c r="F25" s="5">
        <v>0</v>
      </c>
      <c r="G25" s="5">
        <v>0</v>
      </c>
      <c r="H25" s="5" t="s">
        <v>79</v>
      </c>
      <c r="I25" s="5" t="s">
        <v>79</v>
      </c>
      <c r="J25" s="5" t="s">
        <v>79</v>
      </c>
      <c r="K25" s="5" t="s">
        <v>79</v>
      </c>
      <c r="L25" s="5" t="s">
        <v>79</v>
      </c>
      <c r="M25" s="5" t="s">
        <v>79</v>
      </c>
      <c r="N25" s="5" t="s">
        <v>79</v>
      </c>
      <c r="O25" s="5">
        <v>0</v>
      </c>
      <c r="P25" s="5">
        <v>0</v>
      </c>
      <c r="Q25" s="5">
        <v>0</v>
      </c>
      <c r="R25" s="5">
        <v>0</v>
      </c>
      <c r="S25" s="5">
        <v>0</v>
      </c>
      <c r="T25" s="5">
        <v>0</v>
      </c>
      <c r="U25" s="5" t="s">
        <v>79</v>
      </c>
      <c r="V25" s="5" t="s">
        <v>79</v>
      </c>
      <c r="W25" s="5" t="s">
        <v>79</v>
      </c>
      <c r="X25" s="5" t="s">
        <v>79</v>
      </c>
      <c r="Y25" s="5" t="s">
        <v>79</v>
      </c>
      <c r="Z25" s="5" t="s">
        <v>79</v>
      </c>
      <c r="AA25" s="5" t="s">
        <v>79</v>
      </c>
    </row>
    <row r="26" spans="1:27" x14ac:dyDescent="0.2">
      <c r="A26" s="4" t="s">
        <v>53</v>
      </c>
      <c r="B26" s="5">
        <v>0</v>
      </c>
      <c r="C26" s="5">
        <v>0</v>
      </c>
      <c r="D26" s="5">
        <v>0</v>
      </c>
      <c r="E26" s="5">
        <v>0</v>
      </c>
      <c r="F26" s="5">
        <v>0</v>
      </c>
      <c r="G26" s="5">
        <v>0</v>
      </c>
      <c r="H26" s="5" t="s">
        <v>79</v>
      </c>
      <c r="I26" s="5" t="s">
        <v>79</v>
      </c>
      <c r="J26" s="5" t="s">
        <v>79</v>
      </c>
      <c r="K26" s="5" t="s">
        <v>79</v>
      </c>
      <c r="L26" s="5" t="s">
        <v>79</v>
      </c>
      <c r="M26" s="5" t="s">
        <v>79</v>
      </c>
      <c r="N26" s="5" t="s">
        <v>79</v>
      </c>
      <c r="O26" s="5">
        <v>0</v>
      </c>
      <c r="P26" s="5">
        <v>0</v>
      </c>
      <c r="Q26" s="5">
        <v>0</v>
      </c>
      <c r="R26" s="5">
        <v>0</v>
      </c>
      <c r="S26" s="5">
        <v>0</v>
      </c>
      <c r="T26" s="5">
        <v>0</v>
      </c>
      <c r="U26" s="5" t="s">
        <v>79</v>
      </c>
      <c r="V26" s="5" t="s">
        <v>79</v>
      </c>
      <c r="W26" s="5" t="s">
        <v>79</v>
      </c>
      <c r="X26" s="5" t="s">
        <v>79</v>
      </c>
      <c r="Y26" s="5" t="s">
        <v>79</v>
      </c>
      <c r="Z26" s="5" t="s">
        <v>79</v>
      </c>
      <c r="AA26" s="5" t="s">
        <v>79</v>
      </c>
    </row>
    <row r="27" spans="1:27" x14ac:dyDescent="0.2">
      <c r="A27" s="4" t="s">
        <v>69</v>
      </c>
      <c r="B27" s="5">
        <v>0</v>
      </c>
      <c r="C27" s="5">
        <v>0</v>
      </c>
      <c r="D27" s="5">
        <v>0</v>
      </c>
      <c r="E27" s="5">
        <v>0</v>
      </c>
      <c r="F27" s="5">
        <v>0</v>
      </c>
      <c r="G27" s="5">
        <v>0</v>
      </c>
      <c r="H27" s="5" t="s">
        <v>79</v>
      </c>
      <c r="I27" s="5" t="s">
        <v>79</v>
      </c>
      <c r="J27" s="5" t="s">
        <v>79</v>
      </c>
      <c r="K27" s="5" t="s">
        <v>79</v>
      </c>
      <c r="L27" s="5" t="s">
        <v>79</v>
      </c>
      <c r="M27" s="5" t="s">
        <v>79</v>
      </c>
      <c r="N27" s="5" t="s">
        <v>79</v>
      </c>
      <c r="O27" s="5">
        <v>0</v>
      </c>
      <c r="P27" s="5">
        <v>0</v>
      </c>
      <c r="Q27" s="5">
        <v>0</v>
      </c>
      <c r="R27" s="5">
        <v>0</v>
      </c>
      <c r="S27" s="5">
        <v>0</v>
      </c>
      <c r="T27" s="5">
        <v>0</v>
      </c>
      <c r="U27" s="5" t="s">
        <v>79</v>
      </c>
      <c r="V27" s="5" t="s">
        <v>79</v>
      </c>
      <c r="W27" s="5" t="s">
        <v>79</v>
      </c>
      <c r="X27" s="5" t="s">
        <v>79</v>
      </c>
      <c r="Y27" s="5" t="s">
        <v>79</v>
      </c>
      <c r="Z27" s="5" t="s">
        <v>79</v>
      </c>
      <c r="AA27" s="5" t="s">
        <v>79</v>
      </c>
    </row>
    <row r="28" spans="1:27" x14ac:dyDescent="0.2">
      <c r="A28" s="4" t="s">
        <v>86</v>
      </c>
      <c r="B28" s="5" t="s">
        <v>79</v>
      </c>
      <c r="C28" s="5" t="s">
        <v>79</v>
      </c>
      <c r="D28" s="5" t="s">
        <v>79</v>
      </c>
      <c r="E28" s="5" t="s">
        <v>79</v>
      </c>
      <c r="F28" s="5" t="s">
        <v>79</v>
      </c>
      <c r="G28" s="5" t="s">
        <v>79</v>
      </c>
      <c r="H28" s="5" t="s">
        <v>79</v>
      </c>
      <c r="I28" s="5" t="s">
        <v>79</v>
      </c>
      <c r="J28" s="5" t="s">
        <v>79</v>
      </c>
      <c r="K28" s="5" t="s">
        <v>79</v>
      </c>
      <c r="L28" s="5" t="s">
        <v>79</v>
      </c>
      <c r="M28" s="5" t="s">
        <v>79</v>
      </c>
      <c r="N28" s="5" t="s">
        <v>79</v>
      </c>
      <c r="O28" s="5" t="s">
        <v>79</v>
      </c>
      <c r="P28" s="5" t="s">
        <v>79</v>
      </c>
      <c r="Q28" s="5" t="s">
        <v>79</v>
      </c>
      <c r="R28" s="5" t="s">
        <v>79</v>
      </c>
      <c r="S28" s="5" t="s">
        <v>79</v>
      </c>
      <c r="T28" s="5" t="s">
        <v>79</v>
      </c>
      <c r="U28" s="5" t="s">
        <v>79</v>
      </c>
      <c r="V28" s="5" t="s">
        <v>79</v>
      </c>
      <c r="W28" s="5" t="s">
        <v>79</v>
      </c>
      <c r="X28" s="5" t="s">
        <v>79</v>
      </c>
      <c r="Y28" s="5" t="s">
        <v>79</v>
      </c>
      <c r="Z28" s="5" t="s">
        <v>79</v>
      </c>
      <c r="AA28" s="5" t="s">
        <v>79</v>
      </c>
    </row>
    <row r="29" spans="1:27" x14ac:dyDescent="0.2">
      <c r="A29" s="4" t="s">
        <v>87</v>
      </c>
      <c r="B29" s="5">
        <v>0</v>
      </c>
      <c r="C29" s="5">
        <v>0</v>
      </c>
      <c r="D29" s="5">
        <v>0</v>
      </c>
      <c r="E29" s="5">
        <v>0</v>
      </c>
      <c r="F29" s="5">
        <v>0</v>
      </c>
      <c r="G29" s="5">
        <v>0</v>
      </c>
      <c r="H29" s="5">
        <v>0</v>
      </c>
      <c r="I29" s="5">
        <v>0</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row>
    <row r="30" spans="1:27" x14ac:dyDescent="0.2">
      <c r="A30" s="4" t="s">
        <v>70</v>
      </c>
      <c r="B30" s="5">
        <v>0</v>
      </c>
      <c r="C30" s="5">
        <v>0</v>
      </c>
      <c r="D30" s="5">
        <v>75252.230120887354</v>
      </c>
      <c r="E30" s="5">
        <v>7748.1795000000002</v>
      </c>
      <c r="F30" s="5">
        <v>8451</v>
      </c>
      <c r="G30" s="5">
        <v>1153640</v>
      </c>
      <c r="H30" s="5">
        <v>0</v>
      </c>
      <c r="I30" s="5">
        <v>0</v>
      </c>
      <c r="J30" s="5">
        <v>0</v>
      </c>
      <c r="K30" s="5">
        <v>0</v>
      </c>
      <c r="L30" s="5">
        <v>0</v>
      </c>
      <c r="M30" s="5">
        <v>0</v>
      </c>
      <c r="N30" s="5">
        <v>0</v>
      </c>
      <c r="O30" s="5">
        <v>0</v>
      </c>
      <c r="P30" s="5">
        <v>0</v>
      </c>
      <c r="Q30" s="5">
        <v>376261.1506044367</v>
      </c>
      <c r="R30" s="5">
        <v>38740.897500000006</v>
      </c>
      <c r="S30" s="5">
        <v>42255</v>
      </c>
      <c r="T30" s="5">
        <v>5768200</v>
      </c>
      <c r="U30" s="5">
        <v>0</v>
      </c>
      <c r="V30" s="5">
        <v>0</v>
      </c>
      <c r="W30" s="5">
        <v>0</v>
      </c>
      <c r="X30" s="5">
        <v>0</v>
      </c>
      <c r="Y30" s="5">
        <v>0</v>
      </c>
      <c r="Z30" s="5">
        <v>0</v>
      </c>
      <c r="AA30" s="5">
        <v>0</v>
      </c>
    </row>
    <row r="31" spans="1:27" x14ac:dyDescent="0.2">
      <c r="A31" s="4" t="s">
        <v>54</v>
      </c>
      <c r="B31" s="5">
        <v>0</v>
      </c>
      <c r="C31" s="5">
        <v>0</v>
      </c>
      <c r="D31" s="5">
        <v>0</v>
      </c>
      <c r="E31" s="5">
        <v>0</v>
      </c>
      <c r="F31" s="5">
        <v>0</v>
      </c>
      <c r="G31" s="5">
        <v>0</v>
      </c>
      <c r="H31" s="5" t="s">
        <v>79</v>
      </c>
      <c r="I31" s="5" t="s">
        <v>79</v>
      </c>
      <c r="J31" s="5" t="s">
        <v>79</v>
      </c>
      <c r="K31" s="5" t="s">
        <v>79</v>
      </c>
      <c r="L31" s="5" t="s">
        <v>79</v>
      </c>
      <c r="M31" s="5" t="s">
        <v>79</v>
      </c>
      <c r="N31" s="5" t="s">
        <v>79</v>
      </c>
      <c r="O31" s="5">
        <v>0</v>
      </c>
      <c r="P31" s="5">
        <v>0</v>
      </c>
      <c r="Q31" s="5">
        <v>0</v>
      </c>
      <c r="R31" s="5">
        <v>0</v>
      </c>
      <c r="S31" s="5">
        <v>0</v>
      </c>
      <c r="T31" s="5">
        <v>0</v>
      </c>
      <c r="U31" s="5" t="s">
        <v>79</v>
      </c>
      <c r="V31" s="5" t="s">
        <v>79</v>
      </c>
      <c r="W31" s="5" t="s">
        <v>79</v>
      </c>
      <c r="X31" s="5" t="s">
        <v>79</v>
      </c>
      <c r="Y31" s="5" t="s">
        <v>79</v>
      </c>
      <c r="Z31" s="5" t="s">
        <v>79</v>
      </c>
      <c r="AA31" s="5" t="s">
        <v>79</v>
      </c>
    </row>
    <row r="32" spans="1:27" x14ac:dyDescent="0.2">
      <c r="A32" s="4" t="s">
        <v>71</v>
      </c>
      <c r="B32" s="5">
        <v>0</v>
      </c>
      <c r="C32" s="5">
        <v>0</v>
      </c>
      <c r="D32" s="5">
        <v>75252.230120887354</v>
      </c>
      <c r="E32" s="5">
        <v>-4210</v>
      </c>
      <c r="F32" s="5">
        <v>8451</v>
      </c>
      <c r="G32" s="5">
        <v>-52360</v>
      </c>
      <c r="H32" s="5" t="s">
        <v>79</v>
      </c>
      <c r="I32" s="5" t="s">
        <v>79</v>
      </c>
      <c r="J32" s="5" t="s">
        <v>79</v>
      </c>
      <c r="K32" s="5" t="s">
        <v>79</v>
      </c>
      <c r="L32" s="5" t="s">
        <v>79</v>
      </c>
      <c r="M32" s="5" t="s">
        <v>79</v>
      </c>
      <c r="N32" s="5" t="s">
        <v>79</v>
      </c>
      <c r="O32" s="5">
        <v>0</v>
      </c>
      <c r="P32" s="5">
        <v>0</v>
      </c>
      <c r="Q32" s="5">
        <v>376261.1506044367</v>
      </c>
      <c r="R32" s="5">
        <v>-21050</v>
      </c>
      <c r="S32" s="5">
        <v>42255</v>
      </c>
      <c r="T32" s="5">
        <v>-261800</v>
      </c>
      <c r="U32" s="5" t="s">
        <v>79</v>
      </c>
      <c r="V32" s="5" t="s">
        <v>79</v>
      </c>
      <c r="W32" s="5" t="s">
        <v>79</v>
      </c>
      <c r="X32" s="5" t="s">
        <v>79</v>
      </c>
      <c r="Y32" s="5" t="s">
        <v>79</v>
      </c>
      <c r="Z32" s="5" t="s">
        <v>79</v>
      </c>
      <c r="AA32" s="5" t="s">
        <v>79</v>
      </c>
    </row>
    <row r="33" spans="1:27" x14ac:dyDescent="0.2">
      <c r="A33" s="4" t="s">
        <v>72</v>
      </c>
      <c r="B33" s="5">
        <v>0</v>
      </c>
      <c r="C33" s="5">
        <v>0</v>
      </c>
      <c r="D33" s="5">
        <v>0</v>
      </c>
      <c r="E33" s="5">
        <v>11958.1795</v>
      </c>
      <c r="F33" s="5">
        <v>0</v>
      </c>
      <c r="G33" s="5">
        <v>1206000</v>
      </c>
      <c r="H33" s="5" t="s">
        <v>79</v>
      </c>
      <c r="I33" s="5" t="s">
        <v>79</v>
      </c>
      <c r="J33" s="5" t="s">
        <v>79</v>
      </c>
      <c r="K33" s="5" t="s">
        <v>79</v>
      </c>
      <c r="L33" s="5" t="s">
        <v>79</v>
      </c>
      <c r="M33" s="5" t="s">
        <v>79</v>
      </c>
      <c r="N33" s="5" t="s">
        <v>79</v>
      </c>
      <c r="O33" s="5">
        <v>0</v>
      </c>
      <c r="P33" s="5">
        <v>0</v>
      </c>
      <c r="Q33" s="5">
        <v>0</v>
      </c>
      <c r="R33" s="5">
        <v>59790.897500000006</v>
      </c>
      <c r="S33" s="5">
        <v>0</v>
      </c>
      <c r="T33" s="5">
        <v>6030000</v>
      </c>
      <c r="U33" s="5" t="s">
        <v>79</v>
      </c>
      <c r="V33" s="5" t="s">
        <v>79</v>
      </c>
      <c r="W33" s="5" t="s">
        <v>79</v>
      </c>
      <c r="X33" s="5" t="s">
        <v>79</v>
      </c>
      <c r="Y33" s="5" t="s">
        <v>79</v>
      </c>
      <c r="Z33" s="5" t="s">
        <v>79</v>
      </c>
      <c r="AA33" s="5" t="s">
        <v>79</v>
      </c>
    </row>
    <row r="34" spans="1:27" x14ac:dyDescent="0.2">
      <c r="A34" s="4" t="s">
        <v>56</v>
      </c>
      <c r="B34" s="5">
        <v>0</v>
      </c>
      <c r="C34" s="5">
        <v>0</v>
      </c>
      <c r="D34" s="5">
        <v>0</v>
      </c>
      <c r="E34" s="5">
        <v>0</v>
      </c>
      <c r="F34" s="5">
        <v>0</v>
      </c>
      <c r="G34" s="5">
        <v>0</v>
      </c>
      <c r="H34" s="5" t="s">
        <v>79</v>
      </c>
      <c r="I34" s="5" t="s">
        <v>79</v>
      </c>
      <c r="J34" s="5" t="s">
        <v>79</v>
      </c>
      <c r="K34" s="5" t="s">
        <v>79</v>
      </c>
      <c r="L34" s="5" t="s">
        <v>79</v>
      </c>
      <c r="M34" s="5" t="s">
        <v>79</v>
      </c>
      <c r="N34" s="5" t="s">
        <v>79</v>
      </c>
      <c r="O34" s="5">
        <v>0</v>
      </c>
      <c r="P34" s="5">
        <v>0</v>
      </c>
      <c r="Q34" s="5">
        <v>0</v>
      </c>
      <c r="R34" s="5">
        <v>0</v>
      </c>
      <c r="S34" s="5">
        <v>0</v>
      </c>
      <c r="T34" s="5">
        <v>0</v>
      </c>
      <c r="U34" s="5" t="s">
        <v>79</v>
      </c>
      <c r="V34" s="5" t="s">
        <v>79</v>
      </c>
      <c r="W34" s="5" t="s">
        <v>79</v>
      </c>
      <c r="X34" s="5" t="s">
        <v>79</v>
      </c>
      <c r="Y34" s="5" t="s">
        <v>79</v>
      </c>
      <c r="Z34" s="5" t="s">
        <v>79</v>
      </c>
      <c r="AA34" s="5" t="s">
        <v>79</v>
      </c>
    </row>
    <row r="35" spans="1:27" x14ac:dyDescent="0.2">
      <c r="A35" s="4" t="s">
        <v>73</v>
      </c>
      <c r="B35" s="5">
        <v>0</v>
      </c>
      <c r="C35" s="5" t="s">
        <v>79</v>
      </c>
      <c r="D35" s="5" t="s">
        <v>79</v>
      </c>
      <c r="E35" s="5" t="s">
        <v>79</v>
      </c>
      <c r="F35" s="5" t="s">
        <v>79</v>
      </c>
      <c r="G35" s="5" t="s">
        <v>79</v>
      </c>
      <c r="H35" s="5" t="s">
        <v>79</v>
      </c>
      <c r="I35" s="5" t="s">
        <v>79</v>
      </c>
      <c r="J35" s="5" t="s">
        <v>79</v>
      </c>
      <c r="K35" s="5" t="s">
        <v>79</v>
      </c>
      <c r="L35" s="5" t="s">
        <v>79</v>
      </c>
      <c r="M35" s="5" t="s">
        <v>79</v>
      </c>
      <c r="N35" s="5" t="s">
        <v>79</v>
      </c>
      <c r="O35" s="5">
        <v>0</v>
      </c>
      <c r="P35" s="5" t="s">
        <v>79</v>
      </c>
      <c r="Q35" s="5" t="s">
        <v>79</v>
      </c>
      <c r="R35" s="5" t="s">
        <v>79</v>
      </c>
      <c r="S35" s="5" t="s">
        <v>79</v>
      </c>
      <c r="T35" s="5" t="s">
        <v>79</v>
      </c>
      <c r="U35" s="5" t="s">
        <v>79</v>
      </c>
      <c r="V35" s="5" t="s">
        <v>79</v>
      </c>
      <c r="W35" s="5" t="s">
        <v>79</v>
      </c>
      <c r="X35" s="5" t="s">
        <v>79</v>
      </c>
      <c r="Y35" s="5" t="s">
        <v>79</v>
      </c>
      <c r="Z35" s="5" t="s">
        <v>79</v>
      </c>
      <c r="AA35" s="5" t="s">
        <v>79</v>
      </c>
    </row>
    <row r="36" spans="1:27" x14ac:dyDescent="0.2">
      <c r="A36" s="4" t="s">
        <v>74</v>
      </c>
      <c r="B36" s="5">
        <v>1179467.9920000001</v>
      </c>
      <c r="C36" s="5">
        <v>1617</v>
      </c>
      <c r="D36" s="5">
        <v>41245.138600000006</v>
      </c>
      <c r="E36" s="5">
        <v>9931.840400000001</v>
      </c>
      <c r="F36" s="5">
        <v>26659.259461824106</v>
      </c>
      <c r="G36" s="5">
        <v>0</v>
      </c>
      <c r="H36" s="5">
        <v>0</v>
      </c>
      <c r="I36" s="5">
        <v>0</v>
      </c>
      <c r="J36" s="5">
        <v>0</v>
      </c>
      <c r="K36" s="5">
        <v>0</v>
      </c>
      <c r="L36" s="5">
        <v>0</v>
      </c>
      <c r="M36" s="5">
        <v>0</v>
      </c>
      <c r="N36" s="5">
        <v>0</v>
      </c>
      <c r="O36" s="5">
        <v>14800934.559999999</v>
      </c>
      <c r="P36" s="5">
        <v>29106</v>
      </c>
      <c r="Q36" s="5">
        <v>848532.00099999993</v>
      </c>
      <c r="R36" s="5">
        <v>237038.72</v>
      </c>
      <c r="S36" s="5">
        <v>586566.66392735974</v>
      </c>
      <c r="T36" s="5">
        <v>0</v>
      </c>
      <c r="U36" s="5">
        <v>0</v>
      </c>
      <c r="V36" s="5">
        <v>0</v>
      </c>
      <c r="W36" s="5">
        <v>0</v>
      </c>
      <c r="X36" s="5">
        <v>0</v>
      </c>
      <c r="Y36" s="5">
        <v>0</v>
      </c>
      <c r="Z36" s="5">
        <v>0</v>
      </c>
      <c r="AA36" s="5">
        <v>0</v>
      </c>
    </row>
    <row r="37" spans="1:27" x14ac:dyDescent="0.2">
      <c r="A37" s="4" t="s">
        <v>75</v>
      </c>
      <c r="B37" s="5">
        <v>1179467.9920000001</v>
      </c>
      <c r="C37" s="5" t="s">
        <v>79</v>
      </c>
      <c r="D37" s="5" t="s">
        <v>79</v>
      </c>
      <c r="E37" s="5" t="s">
        <v>79</v>
      </c>
      <c r="F37" s="5" t="s">
        <v>79</v>
      </c>
      <c r="G37" s="5" t="s">
        <v>79</v>
      </c>
      <c r="H37" s="5" t="s">
        <v>79</v>
      </c>
      <c r="I37" s="5" t="s">
        <v>79</v>
      </c>
      <c r="J37" s="5" t="s">
        <v>79</v>
      </c>
      <c r="K37" s="5" t="s">
        <v>79</v>
      </c>
      <c r="L37" s="5" t="s">
        <v>79</v>
      </c>
      <c r="M37" s="5" t="s">
        <v>79</v>
      </c>
      <c r="N37" s="5" t="s">
        <v>79</v>
      </c>
      <c r="O37" s="5">
        <v>14800934.559999999</v>
      </c>
      <c r="P37" s="5" t="s">
        <v>79</v>
      </c>
      <c r="Q37" s="5" t="s">
        <v>79</v>
      </c>
      <c r="R37" s="5" t="s">
        <v>79</v>
      </c>
      <c r="S37" s="5" t="s">
        <v>79</v>
      </c>
      <c r="T37" s="5" t="s">
        <v>79</v>
      </c>
      <c r="U37" s="5" t="s">
        <v>79</v>
      </c>
      <c r="V37" s="5" t="s">
        <v>79</v>
      </c>
      <c r="W37" s="5" t="s">
        <v>79</v>
      </c>
      <c r="X37" s="5" t="s">
        <v>79</v>
      </c>
      <c r="Y37" s="5" t="s">
        <v>79</v>
      </c>
      <c r="Z37" s="5" t="s">
        <v>79</v>
      </c>
      <c r="AA37" s="5" t="s">
        <v>79</v>
      </c>
    </row>
    <row r="38" spans="1:27" x14ac:dyDescent="0.2">
      <c r="A38" s="4" t="s">
        <v>76</v>
      </c>
      <c r="B38" s="5" t="s">
        <v>79</v>
      </c>
      <c r="C38" s="5">
        <v>1617</v>
      </c>
      <c r="D38" s="5">
        <v>24570</v>
      </c>
      <c r="E38" s="5">
        <v>0</v>
      </c>
      <c r="F38" s="5">
        <v>5922.0000000000146</v>
      </c>
      <c r="G38" s="5">
        <v>0</v>
      </c>
      <c r="H38" s="5">
        <v>0</v>
      </c>
      <c r="I38" s="5">
        <v>0</v>
      </c>
      <c r="J38" s="5" t="s">
        <v>79</v>
      </c>
      <c r="K38" s="5" t="s">
        <v>79</v>
      </c>
      <c r="L38" s="5" t="s">
        <v>79</v>
      </c>
      <c r="M38" s="5" t="s">
        <v>79</v>
      </c>
      <c r="N38" s="5" t="s">
        <v>79</v>
      </c>
      <c r="O38" s="5" t="s">
        <v>79</v>
      </c>
      <c r="P38" s="5">
        <v>29106</v>
      </c>
      <c r="Q38" s="5">
        <v>442260</v>
      </c>
      <c r="R38" s="5">
        <v>0</v>
      </c>
      <c r="S38" s="5">
        <v>106596.00000000012</v>
      </c>
      <c r="T38" s="5">
        <v>0</v>
      </c>
      <c r="U38" s="5">
        <v>0</v>
      </c>
      <c r="V38" s="5">
        <v>0</v>
      </c>
      <c r="W38" s="5" t="s">
        <v>79</v>
      </c>
      <c r="X38" s="5" t="s">
        <v>79</v>
      </c>
      <c r="Y38" s="5" t="s">
        <v>79</v>
      </c>
      <c r="Z38" s="5" t="s">
        <v>79</v>
      </c>
      <c r="AA38" s="5" t="s">
        <v>79</v>
      </c>
    </row>
    <row r="39" spans="1:27" x14ac:dyDescent="0.2">
      <c r="A39" s="4" t="s">
        <v>77</v>
      </c>
      <c r="B39" s="5" t="s">
        <v>79</v>
      </c>
      <c r="C39" s="5">
        <v>0</v>
      </c>
      <c r="D39" s="5">
        <v>16675.138600000002</v>
      </c>
      <c r="E39" s="5">
        <v>9931.840400000001</v>
      </c>
      <c r="F39" s="5">
        <v>20737.259461824091</v>
      </c>
      <c r="G39" s="5">
        <v>0</v>
      </c>
      <c r="H39" s="5">
        <v>0</v>
      </c>
      <c r="I39" s="5">
        <v>0</v>
      </c>
      <c r="J39" s="5" t="s">
        <v>79</v>
      </c>
      <c r="K39" s="5" t="s">
        <v>79</v>
      </c>
      <c r="L39" s="5" t="s">
        <v>79</v>
      </c>
      <c r="M39" s="5" t="s">
        <v>79</v>
      </c>
      <c r="N39" s="5" t="s">
        <v>79</v>
      </c>
      <c r="O39" s="5" t="s">
        <v>79</v>
      </c>
      <c r="P39" s="5">
        <v>0</v>
      </c>
      <c r="Q39" s="5">
        <v>406272.00099999999</v>
      </c>
      <c r="R39" s="5">
        <v>237038.72</v>
      </c>
      <c r="S39" s="5">
        <v>479970.66392735968</v>
      </c>
      <c r="T39" s="5">
        <v>0</v>
      </c>
      <c r="U39" s="5">
        <v>0</v>
      </c>
      <c r="V39" s="5">
        <v>0</v>
      </c>
      <c r="W39" s="5" t="s">
        <v>79</v>
      </c>
      <c r="X39" s="5" t="s">
        <v>79</v>
      </c>
      <c r="Y39" s="5" t="s">
        <v>79</v>
      </c>
      <c r="Z39" s="5" t="s">
        <v>79</v>
      </c>
      <c r="AA39" s="5" t="s">
        <v>79</v>
      </c>
    </row>
    <row r="40" spans="1:27" x14ac:dyDescent="0.2">
      <c r="A40" s="4" t="s">
        <v>78</v>
      </c>
      <c r="B40" s="5">
        <v>0</v>
      </c>
      <c r="C40" s="5" t="s">
        <v>79</v>
      </c>
      <c r="D40" s="5" t="s">
        <v>79</v>
      </c>
      <c r="E40" s="5" t="s">
        <v>79</v>
      </c>
      <c r="F40" s="5" t="s">
        <v>79</v>
      </c>
      <c r="G40" s="5" t="s">
        <v>79</v>
      </c>
      <c r="H40" s="5" t="s">
        <v>79</v>
      </c>
      <c r="I40" s="5" t="s">
        <v>79</v>
      </c>
      <c r="J40" s="5" t="s">
        <v>79</v>
      </c>
      <c r="K40" s="5" t="s">
        <v>79</v>
      </c>
      <c r="L40" s="5" t="s">
        <v>79</v>
      </c>
      <c r="M40" s="5" t="s">
        <v>79</v>
      </c>
      <c r="N40" s="5" t="s">
        <v>79</v>
      </c>
      <c r="O40" s="5">
        <v>0</v>
      </c>
      <c r="P40" s="5" t="s">
        <v>79</v>
      </c>
      <c r="Q40" s="5" t="s">
        <v>79</v>
      </c>
      <c r="R40" s="5" t="s">
        <v>79</v>
      </c>
      <c r="S40" s="5" t="s">
        <v>79</v>
      </c>
      <c r="T40" s="5" t="s">
        <v>79</v>
      </c>
      <c r="U40" s="5" t="s">
        <v>79</v>
      </c>
      <c r="V40" s="5" t="s">
        <v>79</v>
      </c>
      <c r="W40" s="5" t="s">
        <v>79</v>
      </c>
      <c r="X40" s="5" t="s">
        <v>79</v>
      </c>
      <c r="Y40" s="5" t="s">
        <v>79</v>
      </c>
      <c r="Z40" s="5" t="s">
        <v>79</v>
      </c>
      <c r="AA40" s="5" t="s">
        <v>79</v>
      </c>
    </row>
    <row r="41" spans="1:27" x14ac:dyDescent="0.2">
      <c r="A41" s="4" t="s">
        <v>9</v>
      </c>
      <c r="B41" s="5">
        <v>174048748.63020065</v>
      </c>
      <c r="C41" s="5">
        <v>106493294.3465268</v>
      </c>
      <c r="D41" s="5">
        <v>114026895.71634376</v>
      </c>
      <c r="E41" s="5">
        <v>108402303.06653222</v>
      </c>
      <c r="F41" s="5">
        <v>115690826.9912252</v>
      </c>
      <c r="G41" s="5">
        <v>96238681.906604975</v>
      </c>
      <c r="H41" s="5">
        <v>103218983.99738763</v>
      </c>
      <c r="I41" s="5">
        <v>101941482.51359634</v>
      </c>
      <c r="J41" s="5">
        <v>106677914.21976799</v>
      </c>
      <c r="K41" s="5">
        <v>108884160.56600605</v>
      </c>
      <c r="L41" s="5">
        <v>111184343.77732617</v>
      </c>
      <c r="M41" s="5">
        <v>113153030.6528727</v>
      </c>
      <c r="N41" s="5">
        <v>115416091.26593016</v>
      </c>
      <c r="O41" s="5">
        <v>2576930931.0429983</v>
      </c>
      <c r="P41" s="5">
        <v>1796549299.5673001</v>
      </c>
      <c r="Q41" s="5">
        <v>1969910571.6792815</v>
      </c>
      <c r="R41" s="5">
        <v>1931991619.4650555</v>
      </c>
      <c r="S41" s="5">
        <v>2075861664.2003407</v>
      </c>
      <c r="T41" s="5">
        <v>1632224491.5388765</v>
      </c>
      <c r="U41" s="5">
        <v>1760815236.72</v>
      </c>
      <c r="V41" s="5">
        <v>1733679692.3320894</v>
      </c>
      <c r="W41" s="5">
        <v>1749703195.7742612</v>
      </c>
      <c r="X41" s="5">
        <v>1785254075.4870348</v>
      </c>
      <c r="Y41" s="5">
        <v>1822184156.9967752</v>
      </c>
      <c r="Z41" s="5">
        <v>1856077840.1367104</v>
      </c>
      <c r="AA41" s="5">
        <v>1893199396.9394448</v>
      </c>
    </row>
  </sheetData>
  <sortState xmlns:xlrd2="http://schemas.microsoft.com/office/spreadsheetml/2017/richdata2" ref="A5:AK16359">
    <sortCondition ref="B4:B16359"/>
    <sortCondition ref="A4:A16359"/>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5C083-E257-4446-ADFE-15183C574988}">
  <sheetPr>
    <tabColor theme="6"/>
  </sheetPr>
  <dimension ref="A1:BN64"/>
  <sheetViews>
    <sheetView topLeftCell="AU1" workbookViewId="0">
      <selection activeCell="AP14" sqref="AP14"/>
    </sheetView>
  </sheetViews>
  <sheetFormatPr baseColWidth="10" defaultColWidth="50.5" defaultRowHeight="16" x14ac:dyDescent="0.2"/>
  <cols>
    <col min="1" max="1" width="50.33203125" bestFit="1" customWidth="1"/>
    <col min="2" max="2" width="11.5" bestFit="1" customWidth="1"/>
    <col min="3" max="14" width="12.5" bestFit="1" customWidth="1"/>
    <col min="15" max="27" width="11.5" bestFit="1" customWidth="1"/>
    <col min="28" max="40" width="13" bestFit="1" customWidth="1"/>
    <col min="41" max="53" width="13.5" bestFit="1" customWidth="1"/>
    <col min="54" max="66" width="14.5" bestFit="1" customWidth="1"/>
  </cols>
  <sheetData>
    <row r="1" spans="1:66" x14ac:dyDescent="0.2">
      <c r="A1" s="1" t="s">
        <v>90</v>
      </c>
    </row>
    <row r="2" spans="1:66" x14ac:dyDescent="0.2">
      <c r="A2" s="2" t="s">
        <v>16</v>
      </c>
    </row>
    <row r="3" spans="1:66" x14ac:dyDescent="0.2">
      <c r="A3" s="2"/>
    </row>
    <row r="4" spans="1:66" s="1" customFormat="1" x14ac:dyDescent="0.2">
      <c r="A4" s="1" t="s">
        <v>91</v>
      </c>
      <c r="B4" s="1" t="s">
        <v>9</v>
      </c>
      <c r="C4" s="1" t="s">
        <v>9</v>
      </c>
      <c r="D4" s="1" t="s">
        <v>9</v>
      </c>
      <c r="E4" s="1" t="s">
        <v>9</v>
      </c>
      <c r="F4" s="1" t="s">
        <v>9</v>
      </c>
      <c r="G4" s="1" t="s">
        <v>9</v>
      </c>
      <c r="H4" s="1" t="s">
        <v>9</v>
      </c>
      <c r="I4" s="1" t="s">
        <v>9</v>
      </c>
      <c r="J4" s="1" t="s">
        <v>9</v>
      </c>
      <c r="K4" s="1" t="s">
        <v>9</v>
      </c>
      <c r="L4" s="1" t="s">
        <v>9</v>
      </c>
      <c r="M4" s="1" t="s">
        <v>9</v>
      </c>
      <c r="N4" s="1" t="s">
        <v>9</v>
      </c>
      <c r="O4" s="1" t="s">
        <v>8</v>
      </c>
      <c r="P4" s="1" t="s">
        <v>8</v>
      </c>
      <c r="Q4" s="1" t="s">
        <v>8</v>
      </c>
      <c r="R4" s="1" t="s">
        <v>8</v>
      </c>
      <c r="S4" s="1" t="s">
        <v>8</v>
      </c>
      <c r="T4" s="1" t="s">
        <v>8</v>
      </c>
      <c r="U4" s="1" t="s">
        <v>8</v>
      </c>
      <c r="V4" s="1" t="s">
        <v>8</v>
      </c>
      <c r="W4" s="1" t="s">
        <v>8</v>
      </c>
      <c r="X4" s="1" t="s">
        <v>8</v>
      </c>
      <c r="Y4" s="1" t="s">
        <v>8</v>
      </c>
      <c r="Z4" s="1" t="s">
        <v>8</v>
      </c>
      <c r="AA4" s="1" t="s">
        <v>8</v>
      </c>
      <c r="AB4" s="1" t="s">
        <v>7</v>
      </c>
      <c r="AC4" s="1" t="s">
        <v>7</v>
      </c>
      <c r="AD4" s="1" t="s">
        <v>7</v>
      </c>
      <c r="AE4" s="1" t="s">
        <v>7</v>
      </c>
      <c r="AF4" s="1" t="s">
        <v>7</v>
      </c>
      <c r="AG4" s="1" t="s">
        <v>7</v>
      </c>
      <c r="AH4" s="1" t="s">
        <v>7</v>
      </c>
      <c r="AI4" s="1" t="s">
        <v>7</v>
      </c>
      <c r="AJ4" s="1" t="s">
        <v>7</v>
      </c>
      <c r="AK4" s="1" t="s">
        <v>7</v>
      </c>
      <c r="AL4" s="1" t="s">
        <v>7</v>
      </c>
      <c r="AM4" s="1" t="s">
        <v>7</v>
      </c>
      <c r="AN4" s="1" t="s">
        <v>7</v>
      </c>
      <c r="AO4" s="1" t="s">
        <v>5</v>
      </c>
      <c r="AP4" s="1" t="s">
        <v>5</v>
      </c>
      <c r="AQ4" s="1" t="s">
        <v>5</v>
      </c>
      <c r="AR4" s="1" t="s">
        <v>5</v>
      </c>
      <c r="AS4" s="1" t="s">
        <v>5</v>
      </c>
      <c r="AT4" s="1" t="s">
        <v>5</v>
      </c>
      <c r="AU4" s="1" t="s">
        <v>5</v>
      </c>
      <c r="AV4" s="1" t="s">
        <v>5</v>
      </c>
      <c r="AW4" s="1" t="s">
        <v>5</v>
      </c>
      <c r="AX4" s="1" t="s">
        <v>5</v>
      </c>
      <c r="AY4" s="1" t="s">
        <v>5</v>
      </c>
      <c r="AZ4" s="1" t="s">
        <v>5</v>
      </c>
      <c r="BA4" s="1" t="s">
        <v>5</v>
      </c>
      <c r="BB4" s="1" t="s">
        <v>6</v>
      </c>
      <c r="BC4" s="1" t="s">
        <v>6</v>
      </c>
      <c r="BD4" s="1" t="s">
        <v>6</v>
      </c>
      <c r="BE4" s="1" t="s">
        <v>6</v>
      </c>
      <c r="BF4" s="1" t="s">
        <v>6</v>
      </c>
      <c r="BG4" s="1" t="s">
        <v>6</v>
      </c>
      <c r="BH4" s="1" t="s">
        <v>6</v>
      </c>
      <c r="BI4" s="1" t="s">
        <v>6</v>
      </c>
      <c r="BJ4" s="1" t="s">
        <v>6</v>
      </c>
      <c r="BK4" s="1" t="s">
        <v>6</v>
      </c>
      <c r="BL4" s="1" t="s">
        <v>6</v>
      </c>
      <c r="BM4" s="1" t="s">
        <v>6</v>
      </c>
      <c r="BN4" s="1" t="s">
        <v>6</v>
      </c>
    </row>
    <row r="6" spans="1:66" s="1" customFormat="1" x14ac:dyDescent="0.2">
      <c r="A6" s="1" t="s">
        <v>10</v>
      </c>
      <c r="B6" s="1">
        <v>2015</v>
      </c>
      <c r="C6" s="1">
        <v>2016</v>
      </c>
      <c r="D6" s="1">
        <v>2017</v>
      </c>
      <c r="E6" s="1">
        <v>2018</v>
      </c>
      <c r="F6" s="1">
        <v>2019</v>
      </c>
      <c r="G6" s="1">
        <v>2020</v>
      </c>
      <c r="H6" s="1">
        <v>2021</v>
      </c>
      <c r="I6" s="1">
        <v>2022</v>
      </c>
      <c r="J6" s="1">
        <v>2023</v>
      </c>
      <c r="K6" s="1">
        <v>2024</v>
      </c>
      <c r="L6" s="1">
        <v>2025</v>
      </c>
      <c r="M6" s="1">
        <v>2026</v>
      </c>
      <c r="N6" s="1">
        <v>2027</v>
      </c>
      <c r="O6" s="1">
        <v>2015</v>
      </c>
      <c r="P6" s="1">
        <v>2016</v>
      </c>
      <c r="Q6" s="1">
        <v>2017</v>
      </c>
      <c r="R6" s="1">
        <v>2018</v>
      </c>
      <c r="S6" s="1">
        <v>2019</v>
      </c>
      <c r="T6" s="1">
        <v>2020</v>
      </c>
      <c r="U6" s="1">
        <v>2021</v>
      </c>
      <c r="V6" s="1">
        <v>2022</v>
      </c>
      <c r="W6" s="1">
        <v>2023</v>
      </c>
      <c r="X6" s="1">
        <v>2024</v>
      </c>
      <c r="Y6" s="1">
        <v>2025</v>
      </c>
      <c r="Z6" s="1">
        <v>2026</v>
      </c>
      <c r="AA6" s="1">
        <v>2027</v>
      </c>
      <c r="AB6" s="1">
        <v>2015</v>
      </c>
      <c r="AC6" s="1">
        <v>2016</v>
      </c>
      <c r="AD6" s="1">
        <v>2017</v>
      </c>
      <c r="AE6" s="1">
        <v>2018</v>
      </c>
      <c r="AF6" s="1">
        <v>2019</v>
      </c>
      <c r="AG6" s="1">
        <v>2020</v>
      </c>
      <c r="AH6" s="1">
        <v>2021</v>
      </c>
      <c r="AI6" s="1">
        <v>2022</v>
      </c>
      <c r="AJ6" s="1">
        <v>2023</v>
      </c>
      <c r="AK6" s="1">
        <v>2024</v>
      </c>
      <c r="AL6" s="1">
        <v>2025</v>
      </c>
      <c r="AM6" s="1">
        <v>2026</v>
      </c>
      <c r="AN6" s="1">
        <v>2027</v>
      </c>
      <c r="AO6" s="1">
        <v>2015</v>
      </c>
      <c r="AP6" s="1">
        <v>2016</v>
      </c>
      <c r="AQ6" s="1">
        <v>2017</v>
      </c>
      <c r="AR6" s="1">
        <v>2018</v>
      </c>
      <c r="AS6" s="1">
        <v>2019</v>
      </c>
      <c r="AT6" s="1">
        <v>2020</v>
      </c>
      <c r="AU6" s="1">
        <v>2021</v>
      </c>
      <c r="AV6" s="1">
        <v>2022</v>
      </c>
      <c r="AW6" s="1">
        <v>2023</v>
      </c>
      <c r="AX6" s="1">
        <v>2024</v>
      </c>
      <c r="AY6" s="1">
        <v>2025</v>
      </c>
      <c r="AZ6" s="1">
        <v>2026</v>
      </c>
      <c r="BA6" s="1">
        <v>2027</v>
      </c>
      <c r="BB6" s="1">
        <v>2015</v>
      </c>
      <c r="BC6" s="1">
        <v>2016</v>
      </c>
      <c r="BD6" s="1">
        <v>2017</v>
      </c>
      <c r="BE6" s="1">
        <v>2018</v>
      </c>
      <c r="BF6" s="1">
        <v>2019</v>
      </c>
      <c r="BG6" s="1">
        <v>2020</v>
      </c>
      <c r="BH6" s="1">
        <v>2021</v>
      </c>
      <c r="BI6" s="1">
        <v>2022</v>
      </c>
      <c r="BJ6" s="1">
        <v>2023</v>
      </c>
      <c r="BK6" s="1">
        <v>2024</v>
      </c>
      <c r="BL6" s="1">
        <v>2025</v>
      </c>
      <c r="BM6" s="1">
        <v>2026</v>
      </c>
      <c r="BN6" s="1">
        <v>2027</v>
      </c>
    </row>
    <row r="7" spans="1:66" x14ac:dyDescent="0.2">
      <c r="A7" s="1" t="s">
        <v>61</v>
      </c>
      <c r="B7" s="5">
        <v>16485476.485530781</v>
      </c>
      <c r="C7" s="5">
        <v>37529311.700312518</v>
      </c>
      <c r="D7" s="5">
        <v>49704216.298831157</v>
      </c>
      <c r="E7" s="5">
        <v>53095523.106775448</v>
      </c>
      <c r="F7" s="5">
        <v>55223490.450370088</v>
      </c>
      <c r="G7" s="5">
        <v>49559488.875895306</v>
      </c>
      <c r="H7" s="5">
        <v>52977911.822255209</v>
      </c>
      <c r="I7" s="5">
        <v>38454194.942712128</v>
      </c>
      <c r="J7" s="5">
        <v>40804802.003148966</v>
      </c>
      <c r="K7" s="5">
        <v>41762686.007509872</v>
      </c>
      <c r="L7" s="5">
        <v>42597939.727660075</v>
      </c>
      <c r="M7" s="5">
        <v>43449898.522213273</v>
      </c>
      <c r="N7" s="5">
        <v>44318896.492657535</v>
      </c>
      <c r="O7" s="5">
        <v>3150605.8255307809</v>
      </c>
      <c r="P7" s="5">
        <v>4115948.6803125115</v>
      </c>
      <c r="Q7" s="5">
        <v>4204678.9588311622</v>
      </c>
      <c r="R7" s="5">
        <v>4065963.2467754497</v>
      </c>
      <c r="S7" s="5">
        <v>4078393.5103700887</v>
      </c>
      <c r="T7" s="5">
        <v>4273161.5858953074</v>
      </c>
      <c r="U7" s="5">
        <v>4646667.2472552042</v>
      </c>
      <c r="V7" s="5">
        <v>3738124.9427121296</v>
      </c>
      <c r="W7" s="5">
        <v>1580225.003045443</v>
      </c>
      <c r="X7" s="5">
        <v>1611829.9991063518</v>
      </c>
      <c r="Y7" s="5">
        <v>1644066.5990884788</v>
      </c>
      <c r="Z7" s="5">
        <v>1676947.9310702484</v>
      </c>
      <c r="AA7" s="5">
        <v>1710486.8896916534</v>
      </c>
      <c r="AB7" s="5">
        <v>0</v>
      </c>
      <c r="AC7" s="5">
        <v>0</v>
      </c>
      <c r="AD7" s="5">
        <v>0</v>
      </c>
      <c r="AE7" s="5">
        <v>0</v>
      </c>
      <c r="AF7" s="5">
        <v>0</v>
      </c>
      <c r="AG7" s="5">
        <v>0</v>
      </c>
      <c r="AH7" s="5">
        <v>0</v>
      </c>
      <c r="AI7" s="5">
        <v>0</v>
      </c>
      <c r="AJ7" s="5">
        <v>3591448.8361965688</v>
      </c>
      <c r="AK7" s="5">
        <v>3576727.812920501</v>
      </c>
      <c r="AL7" s="5">
        <v>3648262.3691789112</v>
      </c>
      <c r="AM7" s="5">
        <v>3721227.6165624894</v>
      </c>
      <c r="AN7" s="5">
        <v>3795652.1688937391</v>
      </c>
      <c r="AO7" s="5">
        <v>11861620.300000001</v>
      </c>
      <c r="AP7" s="5">
        <v>29295391.440000001</v>
      </c>
      <c r="AQ7" s="5">
        <v>37754431.829999998</v>
      </c>
      <c r="AR7" s="5">
        <v>44387095.18</v>
      </c>
      <c r="AS7" s="5">
        <v>47245919.75</v>
      </c>
      <c r="AT7" s="5">
        <v>42401580.359999999</v>
      </c>
      <c r="AU7" s="5">
        <v>44781641.734999999</v>
      </c>
      <c r="AV7" s="5">
        <v>34716070</v>
      </c>
      <c r="AW7" s="5">
        <v>32484644.183906954</v>
      </c>
      <c r="AX7" s="5">
        <v>33172338.535883017</v>
      </c>
      <c r="AY7" s="5">
        <v>33835785.306600675</v>
      </c>
      <c r="AZ7" s="5">
        <v>34512501.012732692</v>
      </c>
      <c r="BA7" s="5">
        <v>35202751.032987349</v>
      </c>
      <c r="BB7" s="5">
        <v>1473250.36</v>
      </c>
      <c r="BC7" s="5">
        <v>4117971.58</v>
      </c>
      <c r="BD7" s="5">
        <v>7745105.5099999998</v>
      </c>
      <c r="BE7" s="5">
        <v>4642464.6800000034</v>
      </c>
      <c r="BF7" s="5">
        <v>3899177.19</v>
      </c>
      <c r="BG7" s="5">
        <v>2884746.9300000006</v>
      </c>
      <c r="BH7" s="5">
        <v>3549602.84</v>
      </c>
      <c r="BI7" s="5"/>
      <c r="BJ7" s="5">
        <v>3148483.98</v>
      </c>
      <c r="BK7" s="5">
        <v>3401789.6595999999</v>
      </c>
      <c r="BL7" s="5">
        <v>3469825.452792</v>
      </c>
      <c r="BM7" s="5">
        <v>3539221.9618478399</v>
      </c>
      <c r="BN7" s="5">
        <v>3610006.4010847965</v>
      </c>
    </row>
    <row r="8" spans="1:66" x14ac:dyDescent="0.2">
      <c r="A8" s="1" t="s">
        <v>62</v>
      </c>
      <c r="B8" s="5">
        <v>13334870.66</v>
      </c>
      <c r="C8" s="5">
        <v>31746609.880000003</v>
      </c>
      <c r="D8" s="5">
        <v>44020218.329999998</v>
      </c>
      <c r="E8" s="5">
        <v>47451133.100000001</v>
      </c>
      <c r="F8" s="5">
        <v>49236671.409999996</v>
      </c>
      <c r="G8" s="5">
        <v>42276219.399999999</v>
      </c>
      <c r="H8" s="5">
        <v>44986597.359999999</v>
      </c>
      <c r="I8" s="5">
        <v>30953200</v>
      </c>
      <c r="J8" s="5">
        <v>30629918.000103522</v>
      </c>
      <c r="K8" s="5">
        <v>31384304.004003517</v>
      </c>
      <c r="L8" s="5">
        <v>32011990.084083587</v>
      </c>
      <c r="M8" s="5">
        <v>32652229.885765262</v>
      </c>
      <c r="N8" s="5">
        <v>33305274.483480569</v>
      </c>
      <c r="O8" s="5"/>
      <c r="P8" s="5"/>
      <c r="Q8" s="5"/>
      <c r="R8" s="5"/>
      <c r="S8" s="5"/>
      <c r="T8" s="5"/>
      <c r="U8" s="5"/>
      <c r="V8" s="5"/>
      <c r="W8" s="5"/>
      <c r="X8" s="5"/>
      <c r="Y8" s="5"/>
      <c r="Z8" s="5"/>
      <c r="AA8" s="5"/>
      <c r="AB8" s="5"/>
      <c r="AC8" s="5"/>
      <c r="AD8" s="5"/>
      <c r="AE8" s="5"/>
      <c r="AF8" s="5"/>
      <c r="AG8" s="5"/>
      <c r="AH8" s="5"/>
      <c r="AI8" s="5"/>
      <c r="AJ8" s="5">
        <v>2961088.8361965688</v>
      </c>
      <c r="AK8" s="5">
        <v>2933760.6129205008</v>
      </c>
      <c r="AL8" s="5">
        <v>2992435.825178911</v>
      </c>
      <c r="AM8" s="5">
        <v>3052284.5416824892</v>
      </c>
      <c r="AN8" s="5">
        <v>3113330.2325161393</v>
      </c>
      <c r="AO8" s="5">
        <v>11861620.300000001</v>
      </c>
      <c r="AP8" s="5">
        <v>27670896.280000001</v>
      </c>
      <c r="AQ8" s="5">
        <v>36413672.719999999</v>
      </c>
      <c r="AR8" s="5">
        <v>43059030.18</v>
      </c>
      <c r="AS8" s="5">
        <v>45815009.719999999</v>
      </c>
      <c r="AT8" s="5">
        <v>40078808.409999996</v>
      </c>
      <c r="AU8" s="5">
        <v>42411977.359999999</v>
      </c>
      <c r="AV8" s="5">
        <v>30953200</v>
      </c>
      <c r="AW8" s="5">
        <v>26140935.463906955</v>
      </c>
      <c r="AX8" s="5">
        <v>26701755.817083016</v>
      </c>
      <c r="AY8" s="5">
        <v>27235790.933424678</v>
      </c>
      <c r="AZ8" s="5">
        <v>27780506.752093174</v>
      </c>
      <c r="BA8" s="5">
        <v>28336116.887135036</v>
      </c>
      <c r="BB8" s="5">
        <v>1473250.36</v>
      </c>
      <c r="BC8" s="5">
        <v>4075713.6</v>
      </c>
      <c r="BD8" s="5">
        <v>7606545.6099999994</v>
      </c>
      <c r="BE8" s="5">
        <v>4392102.9200000037</v>
      </c>
      <c r="BF8" s="5">
        <v>3421661.69</v>
      </c>
      <c r="BG8" s="5">
        <v>2197410.9900000002</v>
      </c>
      <c r="BH8" s="5">
        <v>2574620</v>
      </c>
      <c r="BI8" s="5">
        <v>0</v>
      </c>
      <c r="BJ8" s="5">
        <v>1527893.7</v>
      </c>
      <c r="BK8" s="5">
        <v>1748787.574</v>
      </c>
      <c r="BL8" s="5">
        <v>1783763.3254800001</v>
      </c>
      <c r="BM8" s="5">
        <v>1819438.5919896001</v>
      </c>
      <c r="BN8" s="5">
        <v>1855827.3638293922</v>
      </c>
    </row>
    <row r="9" spans="1:66" x14ac:dyDescent="0.2">
      <c r="A9" s="1" t="s">
        <v>92</v>
      </c>
      <c r="B9" s="5">
        <v>0</v>
      </c>
      <c r="C9" s="5">
        <v>0</v>
      </c>
      <c r="D9" s="5">
        <v>0</v>
      </c>
      <c r="E9" s="5">
        <v>0</v>
      </c>
      <c r="F9" s="5">
        <v>0</v>
      </c>
      <c r="G9" s="5">
        <v>0</v>
      </c>
      <c r="H9" s="5">
        <v>0</v>
      </c>
      <c r="I9" s="5">
        <v>0</v>
      </c>
      <c r="J9" s="5">
        <v>4617424</v>
      </c>
      <c r="K9" s="5">
        <v>4709772.0044</v>
      </c>
      <c r="L9" s="5">
        <v>4803967.4444880001</v>
      </c>
      <c r="M9" s="5">
        <v>4900046.7933777599</v>
      </c>
      <c r="N9" s="5">
        <v>4998047.7292453153</v>
      </c>
      <c r="O9" s="5"/>
      <c r="P9" s="5"/>
      <c r="Q9" s="5"/>
      <c r="R9" s="5"/>
      <c r="S9" s="5"/>
      <c r="T9" s="5"/>
      <c r="U9" s="5"/>
      <c r="V9" s="5"/>
      <c r="W9" s="5"/>
      <c r="X9" s="5"/>
      <c r="Y9" s="5"/>
      <c r="Z9" s="5"/>
      <c r="AA9" s="5"/>
      <c r="AB9" s="5"/>
      <c r="AC9" s="5"/>
      <c r="AD9" s="5"/>
      <c r="AE9" s="5"/>
      <c r="AF9" s="5"/>
      <c r="AG9" s="5"/>
      <c r="AH9" s="5"/>
      <c r="AI9" s="5"/>
      <c r="AJ9" s="5">
        <v>255000</v>
      </c>
      <c r="AK9" s="5">
        <v>260100</v>
      </c>
      <c r="AL9" s="5">
        <v>265302</v>
      </c>
      <c r="AM9" s="5">
        <v>270608.03999999998</v>
      </c>
      <c r="AN9" s="5">
        <v>276020.20079999999</v>
      </c>
      <c r="AO9" s="5">
        <v>0</v>
      </c>
      <c r="AP9" s="5">
        <v>0</v>
      </c>
      <c r="AQ9" s="5">
        <v>0</v>
      </c>
      <c r="AR9" s="5">
        <v>0</v>
      </c>
      <c r="AS9" s="5">
        <v>0</v>
      </c>
      <c r="AT9" s="5">
        <v>0</v>
      </c>
      <c r="AU9" s="5">
        <v>0</v>
      </c>
      <c r="AV9" s="5">
        <v>0</v>
      </c>
      <c r="AW9" s="5">
        <v>3557833.7199999997</v>
      </c>
      <c r="AX9" s="5">
        <v>3628989.9188000001</v>
      </c>
      <c r="AY9" s="5">
        <v>3701569.7171760001</v>
      </c>
      <c r="AZ9" s="5">
        <v>3775601.1115195202</v>
      </c>
      <c r="BA9" s="5">
        <v>3851113.1337499106</v>
      </c>
      <c r="BB9" s="5">
        <v>0</v>
      </c>
      <c r="BC9" s="5">
        <v>0</v>
      </c>
      <c r="BD9" s="5">
        <v>0</v>
      </c>
      <c r="BE9" s="5">
        <v>0</v>
      </c>
      <c r="BF9" s="5">
        <v>0</v>
      </c>
      <c r="BG9" s="5">
        <v>0</v>
      </c>
      <c r="BH9" s="5">
        <v>0</v>
      </c>
      <c r="BI9" s="5">
        <v>0</v>
      </c>
      <c r="BJ9" s="5">
        <v>804590.28</v>
      </c>
      <c r="BK9" s="5">
        <v>820682.08559999999</v>
      </c>
      <c r="BL9" s="5">
        <v>837095.727312</v>
      </c>
      <c r="BM9" s="5">
        <v>853837.64185824001</v>
      </c>
      <c r="BN9" s="5">
        <v>870914.39469540503</v>
      </c>
    </row>
    <row r="10" spans="1:66" x14ac:dyDescent="0.2">
      <c r="A10" s="1" t="s">
        <v>63</v>
      </c>
      <c r="B10" s="5">
        <v>0</v>
      </c>
      <c r="C10" s="5">
        <v>1666753.1400000004</v>
      </c>
      <c r="D10" s="5">
        <v>1479319.0099999993</v>
      </c>
      <c r="E10" s="5">
        <v>1578426.76</v>
      </c>
      <c r="F10" s="5">
        <v>1908425.53</v>
      </c>
      <c r="G10" s="5">
        <v>3010107.8900000006</v>
      </c>
      <c r="H10" s="5">
        <v>3344647.2149999999</v>
      </c>
      <c r="I10" s="5">
        <v>3762870</v>
      </c>
      <c r="J10" s="5">
        <v>3977235</v>
      </c>
      <c r="K10" s="5">
        <v>4056780</v>
      </c>
      <c r="L10" s="5">
        <v>4137915.5999999996</v>
      </c>
      <c r="M10" s="5">
        <v>4220673.9120000005</v>
      </c>
      <c r="N10" s="5">
        <v>4305087.3902400006</v>
      </c>
      <c r="O10" s="5"/>
      <c r="P10" s="5"/>
      <c r="Q10" s="5"/>
      <c r="R10" s="5"/>
      <c r="S10" s="5"/>
      <c r="T10" s="5"/>
      <c r="U10" s="5"/>
      <c r="V10" s="5"/>
      <c r="W10" s="5"/>
      <c r="X10" s="5"/>
      <c r="Y10" s="5"/>
      <c r="Z10" s="5"/>
      <c r="AA10" s="5"/>
      <c r="AB10" s="5"/>
      <c r="AC10" s="5"/>
      <c r="AD10" s="5"/>
      <c r="AE10" s="5"/>
      <c r="AF10" s="5"/>
      <c r="AG10" s="5"/>
      <c r="AH10" s="5"/>
      <c r="AI10" s="5"/>
      <c r="AJ10" s="5">
        <v>375360</v>
      </c>
      <c r="AK10" s="5">
        <v>382867.20000000001</v>
      </c>
      <c r="AL10" s="5">
        <v>390524.54399999999</v>
      </c>
      <c r="AM10" s="5">
        <v>398335.03487999999</v>
      </c>
      <c r="AN10" s="5">
        <v>406301.73557760002</v>
      </c>
      <c r="AO10" s="5">
        <v>0</v>
      </c>
      <c r="AP10" s="5">
        <v>1624495.1600000004</v>
      </c>
      <c r="AQ10" s="5">
        <v>1340759.1099999994</v>
      </c>
      <c r="AR10" s="5">
        <v>1328065</v>
      </c>
      <c r="AS10" s="5">
        <v>1430910.03</v>
      </c>
      <c r="AT10" s="5">
        <v>2322771.9500000002</v>
      </c>
      <c r="AU10" s="5">
        <v>2369664.375</v>
      </c>
      <c r="AV10" s="5">
        <v>3762870</v>
      </c>
      <c r="AW10" s="5">
        <v>2785875</v>
      </c>
      <c r="AX10" s="5">
        <v>2841592.8</v>
      </c>
      <c r="AY10" s="5">
        <v>2898424.656</v>
      </c>
      <c r="AZ10" s="5">
        <v>2956393.1491200002</v>
      </c>
      <c r="BA10" s="5">
        <v>3015521.0121024004</v>
      </c>
      <c r="BB10" s="5">
        <v>0</v>
      </c>
      <c r="BC10" s="5">
        <v>42257.979999999996</v>
      </c>
      <c r="BD10" s="5">
        <v>138559.89999999997</v>
      </c>
      <c r="BE10" s="5">
        <v>250361.76</v>
      </c>
      <c r="BF10" s="5">
        <v>477515.5</v>
      </c>
      <c r="BG10" s="5">
        <v>687335.94000000018</v>
      </c>
      <c r="BH10" s="5">
        <v>974982.84000000008</v>
      </c>
      <c r="BI10" s="5">
        <v>0</v>
      </c>
      <c r="BJ10" s="5">
        <v>816000</v>
      </c>
      <c r="BK10" s="5">
        <v>832320</v>
      </c>
      <c r="BL10" s="5">
        <v>848966.4</v>
      </c>
      <c r="BM10" s="5">
        <v>865945.728</v>
      </c>
      <c r="BN10" s="5">
        <v>883264.64256000007</v>
      </c>
    </row>
    <row r="11" spans="1:66" x14ac:dyDescent="0.2">
      <c r="A11" s="1" t="s">
        <v>64</v>
      </c>
      <c r="B11" s="5">
        <v>15943481.955659043</v>
      </c>
      <c r="C11" s="5">
        <v>18129206.856369447</v>
      </c>
      <c r="D11" s="5">
        <v>18706681.836261131</v>
      </c>
      <c r="E11" s="5">
        <v>21443801.312716953</v>
      </c>
      <c r="F11" s="5">
        <v>24270854.49819044</v>
      </c>
      <c r="G11" s="5">
        <v>20888225.687927812</v>
      </c>
      <c r="H11" s="5">
        <v>25491044.657038953</v>
      </c>
      <c r="I11" s="5">
        <v>25421779.653927084</v>
      </c>
      <c r="J11" s="5">
        <v>22987684.995222218</v>
      </c>
      <c r="K11" s="5">
        <v>23447439.001726665</v>
      </c>
      <c r="L11" s="5">
        <v>23916387.781761199</v>
      </c>
      <c r="M11" s="5">
        <v>24394715.53739642</v>
      </c>
      <c r="N11" s="5">
        <v>24882609.848144349</v>
      </c>
      <c r="O11" s="5">
        <v>2742052.795659042</v>
      </c>
      <c r="P11" s="5">
        <v>1903572.866900421</v>
      </c>
      <c r="Q11" s="5">
        <v>2029308.3057301566</v>
      </c>
      <c r="R11" s="5">
        <v>2317934.3227169495</v>
      </c>
      <c r="S11" s="5">
        <v>1996967.6281904436</v>
      </c>
      <c r="T11" s="5">
        <v>1874104.1579278093</v>
      </c>
      <c r="U11" s="5">
        <v>2094347.6570389543</v>
      </c>
      <c r="V11" s="5">
        <v>2770567.6539270841</v>
      </c>
      <c r="W11" s="5">
        <v>1473641.9952222188</v>
      </c>
      <c r="X11" s="5">
        <v>1503115.0021266635</v>
      </c>
      <c r="Y11" s="5">
        <v>1533177.3021691968</v>
      </c>
      <c r="Z11" s="5">
        <v>1563840.8482125807</v>
      </c>
      <c r="AA11" s="5">
        <v>1595117.6651768323</v>
      </c>
      <c r="AB11" s="5">
        <v>0</v>
      </c>
      <c r="AC11" s="5">
        <v>0</v>
      </c>
      <c r="AD11" s="5">
        <v>0</v>
      </c>
      <c r="AE11" s="5">
        <v>0</v>
      </c>
      <c r="AF11" s="5">
        <v>0</v>
      </c>
      <c r="AG11" s="5">
        <v>0</v>
      </c>
      <c r="AH11" s="5">
        <v>0</v>
      </c>
      <c r="AI11" s="5">
        <v>0</v>
      </c>
      <c r="AJ11" s="5">
        <v>2553060</v>
      </c>
      <c r="AK11" s="5">
        <v>2604121.2000000002</v>
      </c>
      <c r="AL11" s="5">
        <v>2656203.6240000003</v>
      </c>
      <c r="AM11" s="5">
        <v>2709327.6964800004</v>
      </c>
      <c r="AN11" s="5">
        <v>2763514.2504096003</v>
      </c>
      <c r="AO11" s="5">
        <v>10972818.630000001</v>
      </c>
      <c r="AP11" s="5">
        <v>12303538.289469026</v>
      </c>
      <c r="AQ11" s="5">
        <v>11192388.740530973</v>
      </c>
      <c r="AR11" s="5">
        <v>12522219.240000002</v>
      </c>
      <c r="AS11" s="5">
        <v>15750921.919999998</v>
      </c>
      <c r="AT11" s="5">
        <v>13183712.24</v>
      </c>
      <c r="AU11" s="5">
        <v>16065933</v>
      </c>
      <c r="AV11" s="5">
        <v>22651212</v>
      </c>
      <c r="AW11" s="5">
        <v>15615383</v>
      </c>
      <c r="AX11" s="5">
        <v>15927690.639600001</v>
      </c>
      <c r="AY11" s="5">
        <v>16246244.452392001</v>
      </c>
      <c r="AZ11" s="5">
        <v>16571169.341439841</v>
      </c>
      <c r="BA11" s="5">
        <v>16902592.728268638</v>
      </c>
      <c r="BB11" s="5">
        <v>2228610.5299999998</v>
      </c>
      <c r="BC11" s="5">
        <v>3922095.7</v>
      </c>
      <c r="BD11" s="5">
        <v>5484984.790000001</v>
      </c>
      <c r="BE11" s="5">
        <v>6603647.7500000019</v>
      </c>
      <c r="BF11" s="5">
        <v>6522964.9499999983</v>
      </c>
      <c r="BG11" s="5">
        <v>5830409.290000001</v>
      </c>
      <c r="BH11" s="5">
        <v>7330764</v>
      </c>
      <c r="BI11" s="5"/>
      <c r="BJ11" s="5">
        <v>3345600</v>
      </c>
      <c r="BK11" s="5">
        <v>3412512.16</v>
      </c>
      <c r="BL11" s="5">
        <v>3480762.4032000001</v>
      </c>
      <c r="BM11" s="5">
        <v>3550377.6512640002</v>
      </c>
      <c r="BN11" s="5">
        <v>3621385.2042892803</v>
      </c>
    </row>
    <row r="12" spans="1:66" x14ac:dyDescent="0.2">
      <c r="A12" s="1" t="s">
        <v>51</v>
      </c>
      <c r="B12" s="5">
        <v>9280755.2800000012</v>
      </c>
      <c r="C12" s="5">
        <v>12131940.720000001</v>
      </c>
      <c r="D12" s="5">
        <v>10972356.4</v>
      </c>
      <c r="E12" s="5">
        <v>12097013.160000004</v>
      </c>
      <c r="F12" s="5">
        <v>16396672.979999997</v>
      </c>
      <c r="G12" s="5">
        <v>13530049.640000001</v>
      </c>
      <c r="H12" s="5">
        <v>16643900</v>
      </c>
      <c r="I12" s="5">
        <v>15110859</v>
      </c>
      <c r="J12" s="5">
        <v>14375115</v>
      </c>
      <c r="K12" s="5">
        <v>14662617</v>
      </c>
      <c r="L12" s="5">
        <v>14955869.34</v>
      </c>
      <c r="M12" s="5">
        <v>15254986.7268</v>
      </c>
      <c r="N12" s="5">
        <v>15560086.461336002</v>
      </c>
      <c r="O12" s="5"/>
      <c r="P12" s="5"/>
      <c r="Q12" s="5"/>
      <c r="R12" s="5"/>
      <c r="S12" s="5"/>
      <c r="T12" s="5"/>
      <c r="U12" s="5"/>
      <c r="V12" s="5"/>
      <c r="W12" s="5"/>
      <c r="X12" s="5"/>
      <c r="Y12" s="5"/>
      <c r="Z12" s="5"/>
      <c r="AA12" s="5"/>
      <c r="AB12" s="5"/>
      <c r="AC12" s="5"/>
      <c r="AD12" s="5"/>
      <c r="AE12" s="5"/>
      <c r="AF12" s="5"/>
      <c r="AG12" s="5"/>
      <c r="AH12" s="5"/>
      <c r="AI12" s="5"/>
      <c r="AJ12" s="5">
        <v>2364360</v>
      </c>
      <c r="AK12" s="5">
        <v>2411647.2000000002</v>
      </c>
      <c r="AL12" s="5">
        <v>2459880.1440000003</v>
      </c>
      <c r="AM12" s="5">
        <v>2509077.7468800005</v>
      </c>
      <c r="AN12" s="5">
        <v>2559259.3018176006</v>
      </c>
      <c r="AO12" s="5">
        <v>7477470.2100000009</v>
      </c>
      <c r="AP12" s="5">
        <v>8747694.8900000006</v>
      </c>
      <c r="AQ12" s="5">
        <v>6035878.4199999999</v>
      </c>
      <c r="AR12" s="5">
        <v>6286794.4400000013</v>
      </c>
      <c r="AS12" s="5">
        <v>10416933.899999999</v>
      </c>
      <c r="AT12" s="5">
        <v>8147302.9399999995</v>
      </c>
      <c r="AU12" s="5">
        <v>10849600</v>
      </c>
      <c r="AV12" s="5">
        <v>15110859</v>
      </c>
      <c r="AW12" s="5">
        <v>9511755</v>
      </c>
      <c r="AX12" s="5">
        <v>9701990.0999999996</v>
      </c>
      <c r="AY12" s="5">
        <v>9896029.9020000007</v>
      </c>
      <c r="AZ12" s="5">
        <v>10093950.50004</v>
      </c>
      <c r="BA12" s="5">
        <v>10295829.510040801</v>
      </c>
      <c r="BB12" s="5">
        <v>1803285.0699999998</v>
      </c>
      <c r="BC12" s="5">
        <v>3384245.83</v>
      </c>
      <c r="BD12" s="5">
        <v>4936477.9800000004</v>
      </c>
      <c r="BE12" s="5">
        <v>5810218.7200000025</v>
      </c>
      <c r="BF12" s="5">
        <v>5979739.0799999982</v>
      </c>
      <c r="BG12" s="5">
        <v>5382746.7000000011</v>
      </c>
      <c r="BH12" s="5">
        <v>5794300</v>
      </c>
      <c r="BI12" s="5">
        <v>0</v>
      </c>
      <c r="BJ12" s="5">
        <v>2499000</v>
      </c>
      <c r="BK12" s="5">
        <v>2548979.7000000002</v>
      </c>
      <c r="BL12" s="5">
        <v>2599959.2940000002</v>
      </c>
      <c r="BM12" s="5">
        <v>2651958.4798800005</v>
      </c>
      <c r="BN12" s="5">
        <v>2704997.6494776006</v>
      </c>
    </row>
    <row r="13" spans="1:66" x14ac:dyDescent="0.2">
      <c r="A13" s="1" t="s">
        <v>65</v>
      </c>
      <c r="B13" s="5">
        <v>3920673.88</v>
      </c>
      <c r="C13" s="5">
        <v>4093693.2694690265</v>
      </c>
      <c r="D13" s="5">
        <v>5705017.1305309739</v>
      </c>
      <c r="E13" s="5">
        <v>7028853.8300000001</v>
      </c>
      <c r="F13" s="5">
        <v>5877213.8899999997</v>
      </c>
      <c r="G13" s="5">
        <v>5484071.8900000006</v>
      </c>
      <c r="H13" s="5">
        <v>6752797</v>
      </c>
      <c r="I13" s="5">
        <v>7540353</v>
      </c>
      <c r="J13" s="5">
        <v>7138928</v>
      </c>
      <c r="K13" s="5">
        <v>7281706.9996000007</v>
      </c>
      <c r="L13" s="5">
        <v>7427341.1395920012</v>
      </c>
      <c r="M13" s="5">
        <v>7575887.9623838412</v>
      </c>
      <c r="N13" s="5">
        <v>7727405.7216315176</v>
      </c>
      <c r="O13" s="5"/>
      <c r="P13" s="5"/>
      <c r="Q13" s="5"/>
      <c r="R13" s="5"/>
      <c r="S13" s="5"/>
      <c r="T13" s="5"/>
      <c r="U13" s="5"/>
      <c r="V13" s="5"/>
      <c r="W13" s="5"/>
      <c r="X13" s="5"/>
      <c r="Y13" s="5"/>
      <c r="Z13" s="5"/>
      <c r="AA13" s="5"/>
      <c r="AB13" s="5"/>
      <c r="AC13" s="5"/>
      <c r="AD13" s="5"/>
      <c r="AE13" s="5"/>
      <c r="AF13" s="5"/>
      <c r="AG13" s="5"/>
      <c r="AH13" s="5"/>
      <c r="AI13" s="5"/>
      <c r="AJ13" s="5">
        <v>188700</v>
      </c>
      <c r="AK13" s="5">
        <v>192474</v>
      </c>
      <c r="AL13" s="5">
        <v>196323.48</v>
      </c>
      <c r="AM13" s="5">
        <v>200249.94960000002</v>
      </c>
      <c r="AN13" s="5">
        <v>204254.94859200003</v>
      </c>
      <c r="AO13" s="5">
        <v>3495348.42</v>
      </c>
      <c r="AP13" s="5">
        <v>3555843.3994690264</v>
      </c>
      <c r="AQ13" s="5">
        <v>5156510.3205309734</v>
      </c>
      <c r="AR13" s="5">
        <v>6235424.8000000007</v>
      </c>
      <c r="AS13" s="5">
        <v>5333988.0199999996</v>
      </c>
      <c r="AT13" s="5">
        <v>5036409.3000000007</v>
      </c>
      <c r="AU13" s="5">
        <v>5216333</v>
      </c>
      <c r="AV13" s="5">
        <v>7540353</v>
      </c>
      <c r="AW13" s="5">
        <v>6103628</v>
      </c>
      <c r="AX13" s="5">
        <v>6225700.5396000007</v>
      </c>
      <c r="AY13" s="5">
        <v>6350214.5503920009</v>
      </c>
      <c r="AZ13" s="5">
        <v>6477218.841399841</v>
      </c>
      <c r="BA13" s="5">
        <v>6606763.2182278382</v>
      </c>
      <c r="BB13" s="5">
        <v>425325.45999999996</v>
      </c>
      <c r="BC13" s="5">
        <v>537849.87</v>
      </c>
      <c r="BD13" s="5">
        <v>548506.81000000006</v>
      </c>
      <c r="BE13" s="5">
        <v>793429.0299999998</v>
      </c>
      <c r="BF13" s="5">
        <v>543225.87000000011</v>
      </c>
      <c r="BG13" s="5">
        <v>447662.59000000008</v>
      </c>
      <c r="BH13" s="5">
        <v>1536464</v>
      </c>
      <c r="BI13" s="5">
        <v>0</v>
      </c>
      <c r="BJ13" s="5">
        <v>846600</v>
      </c>
      <c r="BK13" s="5">
        <v>863532.46</v>
      </c>
      <c r="BL13" s="5">
        <v>880803.10919999995</v>
      </c>
      <c r="BM13" s="5">
        <v>898419.17138399999</v>
      </c>
      <c r="BN13" s="5">
        <v>916387.55481167999</v>
      </c>
    </row>
    <row r="14" spans="1:66" x14ac:dyDescent="0.2">
      <c r="A14" s="1" t="s">
        <v>0</v>
      </c>
      <c r="B14" s="5">
        <v>13186012.164574377</v>
      </c>
      <c r="C14" s="5">
        <v>16251704.323577907</v>
      </c>
      <c r="D14" s="5">
        <v>19190385.883173652</v>
      </c>
      <c r="E14" s="5">
        <v>19703248.976194955</v>
      </c>
      <c r="F14" s="5">
        <v>18855464.344577558</v>
      </c>
      <c r="G14" s="5">
        <v>16084703.146830052</v>
      </c>
      <c r="H14" s="5">
        <v>24556876.670511983</v>
      </c>
      <c r="I14" s="5">
        <v>30166090.439330287</v>
      </c>
      <c r="J14" s="5">
        <v>25262774.996288802</v>
      </c>
      <c r="K14" s="5">
        <v>25626242.004516657</v>
      </c>
      <c r="L14" s="5">
        <v>26138766.844606988</v>
      </c>
      <c r="M14" s="5">
        <v>26661542.181499127</v>
      </c>
      <c r="N14" s="5">
        <v>27194773.02512911</v>
      </c>
      <c r="O14" s="5">
        <v>3128624.0145743778</v>
      </c>
      <c r="P14" s="5">
        <v>2786758.3222967614</v>
      </c>
      <c r="Q14" s="5">
        <v>3311618.78470462</v>
      </c>
      <c r="R14" s="5">
        <v>3431081.7701949561</v>
      </c>
      <c r="S14" s="5">
        <v>2813559.1075775567</v>
      </c>
      <c r="T14" s="5">
        <v>2632678.1668300508</v>
      </c>
      <c r="U14" s="5">
        <v>3549876.6705119824</v>
      </c>
      <c r="V14" s="5">
        <v>4937438.1827224828</v>
      </c>
      <c r="W14" s="5">
        <v>3743607.9982888</v>
      </c>
      <c r="X14" s="5">
        <v>3763241.4007566557</v>
      </c>
      <c r="Y14" s="5">
        <v>3838506.228771789</v>
      </c>
      <c r="Z14" s="5">
        <v>3915276.3533472246</v>
      </c>
      <c r="AA14" s="5">
        <v>3993581.8804141693</v>
      </c>
      <c r="AB14" s="5">
        <v>0</v>
      </c>
      <c r="AC14" s="5">
        <v>0</v>
      </c>
      <c r="AD14" s="5">
        <v>0</v>
      </c>
      <c r="AE14" s="5">
        <v>0</v>
      </c>
      <c r="AF14" s="5">
        <v>0</v>
      </c>
      <c r="AG14" s="5">
        <v>0</v>
      </c>
      <c r="AH14" s="5">
        <v>0</v>
      </c>
      <c r="AI14" s="5">
        <v>0</v>
      </c>
      <c r="AJ14" s="5">
        <v>2354815.2800000003</v>
      </c>
      <c r="AK14" s="5">
        <v>2315361.5856000003</v>
      </c>
      <c r="AL14" s="5">
        <v>2361668.8173120003</v>
      </c>
      <c r="AM14" s="5">
        <v>2408902.1936582401</v>
      </c>
      <c r="AN14" s="5">
        <v>2457080.2375314049</v>
      </c>
      <c r="AO14" s="5">
        <v>7018166.4500000002</v>
      </c>
      <c r="AP14" s="5">
        <v>11615102.021281146</v>
      </c>
      <c r="AQ14" s="5">
        <v>12188021.76946903</v>
      </c>
      <c r="AR14" s="5">
        <v>13804709.676999997</v>
      </c>
      <c r="AS14" s="5">
        <v>14221738.58</v>
      </c>
      <c r="AT14" s="5">
        <v>11811442.980000002</v>
      </c>
      <c r="AU14" s="5">
        <v>18297500</v>
      </c>
      <c r="AV14" s="5">
        <v>25228652.256607804</v>
      </c>
      <c r="AW14" s="5">
        <v>17931274.008000001</v>
      </c>
      <c r="AX14" s="5">
        <v>18289899.488159999</v>
      </c>
      <c r="AY14" s="5">
        <v>18655697.4779232</v>
      </c>
      <c r="AZ14" s="5">
        <v>19028811.427481662</v>
      </c>
      <c r="BA14" s="5">
        <v>19409387.656031296</v>
      </c>
      <c r="BB14" s="5">
        <v>3039221.6999999993</v>
      </c>
      <c r="BC14" s="5">
        <v>1849843.98</v>
      </c>
      <c r="BD14" s="5">
        <v>3690745.3289999999</v>
      </c>
      <c r="BE14" s="5">
        <v>2467457.529000001</v>
      </c>
      <c r="BF14" s="5">
        <v>1820166.6570000001</v>
      </c>
      <c r="BG14" s="5">
        <v>1640582</v>
      </c>
      <c r="BH14" s="5">
        <v>2709500</v>
      </c>
      <c r="BI14" s="5"/>
      <c r="BJ14" s="5">
        <v>1233077.71</v>
      </c>
      <c r="BK14" s="5">
        <v>1257739.5300000003</v>
      </c>
      <c r="BL14" s="5">
        <v>1282894.3206000002</v>
      </c>
      <c r="BM14" s="5">
        <v>1308552.2070120003</v>
      </c>
      <c r="BN14" s="5">
        <v>1334723.2511522402</v>
      </c>
    </row>
    <row r="15" spans="1:66" x14ac:dyDescent="0.2">
      <c r="A15" s="1" t="s">
        <v>93</v>
      </c>
      <c r="B15" s="5">
        <v>7013843.1999999993</v>
      </c>
      <c r="C15" s="5">
        <v>6048660.8547375957</v>
      </c>
      <c r="D15" s="5">
        <v>6306178.5500000045</v>
      </c>
      <c r="E15" s="5">
        <v>7273801.9719999973</v>
      </c>
      <c r="F15" s="5">
        <v>5518440.0250000004</v>
      </c>
      <c r="G15" s="5">
        <v>7802468.9300000016</v>
      </c>
      <c r="H15" s="5">
        <v>10830000</v>
      </c>
      <c r="I15" s="5">
        <v>8305957.2566078054</v>
      </c>
      <c r="J15" s="5">
        <v>11895830</v>
      </c>
      <c r="K15" s="5">
        <v>12047196.6</v>
      </c>
      <c r="L15" s="5">
        <v>12288140.532</v>
      </c>
      <c r="M15" s="5">
        <v>12533903.342639999</v>
      </c>
      <c r="N15" s="5">
        <v>12784581.409492798</v>
      </c>
      <c r="O15" s="5"/>
      <c r="P15" s="5"/>
      <c r="Q15" s="5"/>
      <c r="R15" s="5"/>
      <c r="S15" s="5"/>
      <c r="T15" s="5"/>
      <c r="U15" s="5"/>
      <c r="V15" s="5"/>
      <c r="W15" s="5"/>
      <c r="X15" s="5"/>
      <c r="Y15" s="5"/>
      <c r="Z15" s="5"/>
      <c r="AA15" s="5"/>
      <c r="AB15" s="5"/>
      <c r="AC15" s="5"/>
      <c r="AD15" s="5"/>
      <c r="AE15" s="5"/>
      <c r="AF15" s="5"/>
      <c r="AG15" s="5"/>
      <c r="AH15" s="5"/>
      <c r="AI15" s="5"/>
      <c r="AJ15" s="5">
        <v>331580</v>
      </c>
      <c r="AK15" s="5">
        <v>251661.6</v>
      </c>
      <c r="AL15" s="5">
        <v>256694.83200000002</v>
      </c>
      <c r="AM15" s="5">
        <v>261828.72864000002</v>
      </c>
      <c r="AN15" s="5">
        <v>267065.3032128</v>
      </c>
      <c r="AO15" s="5">
        <v>4657862.95</v>
      </c>
      <c r="AP15" s="5">
        <v>5205540.3296954399</v>
      </c>
      <c r="AQ15" s="5">
        <v>4960679.1700000046</v>
      </c>
      <c r="AR15" s="5">
        <v>6442232.9759999961</v>
      </c>
      <c r="AS15" s="5">
        <v>4604868.87</v>
      </c>
      <c r="AT15" s="5">
        <v>7280757.6700000018</v>
      </c>
      <c r="AU15" s="5">
        <v>9679500</v>
      </c>
      <c r="AV15" s="5">
        <v>8305957.2566078054</v>
      </c>
      <c r="AW15" s="5">
        <v>10944600</v>
      </c>
      <c r="AX15" s="5">
        <v>11163492</v>
      </c>
      <c r="AY15" s="5">
        <v>11386761.84</v>
      </c>
      <c r="AZ15" s="5">
        <v>11614497.0768</v>
      </c>
      <c r="BA15" s="5">
        <v>11846787.018336</v>
      </c>
      <c r="BB15" s="5">
        <v>2355980.2499999995</v>
      </c>
      <c r="BC15" s="5">
        <v>843120.52504215611</v>
      </c>
      <c r="BD15" s="5">
        <v>1345499.38</v>
      </c>
      <c r="BE15" s="5">
        <v>831568.99600000097</v>
      </c>
      <c r="BF15" s="5">
        <v>913571.15500000003</v>
      </c>
      <c r="BG15" s="5">
        <v>521711.26</v>
      </c>
      <c r="BH15" s="5">
        <v>1150500</v>
      </c>
      <c r="BI15" s="5">
        <v>0</v>
      </c>
      <c r="BJ15" s="5">
        <v>619650</v>
      </c>
      <c r="BK15" s="5">
        <v>632043</v>
      </c>
      <c r="BL15" s="5">
        <v>644683.86</v>
      </c>
      <c r="BM15" s="5">
        <v>657577.53720000002</v>
      </c>
      <c r="BN15" s="5">
        <v>670729.08794400003</v>
      </c>
    </row>
    <row r="16" spans="1:66" x14ac:dyDescent="0.2">
      <c r="A16" s="1" t="s">
        <v>94</v>
      </c>
      <c r="B16" s="5">
        <v>3043544.95</v>
      </c>
      <c r="C16" s="5">
        <v>5025382.9265435506</v>
      </c>
      <c r="D16" s="5">
        <v>6315717.2357690269</v>
      </c>
      <c r="E16" s="5">
        <v>5916774.9340000004</v>
      </c>
      <c r="F16" s="5">
        <v>4624358.6119999997</v>
      </c>
      <c r="G16" s="5">
        <v>3107265.2800000003</v>
      </c>
      <c r="H16" s="5">
        <v>4508000</v>
      </c>
      <c r="I16" s="5">
        <v>9472114</v>
      </c>
      <c r="J16" s="5">
        <v>2436237</v>
      </c>
      <c r="K16" s="5">
        <v>2484961.9972000001</v>
      </c>
      <c r="L16" s="5">
        <v>2534661.2371439999</v>
      </c>
      <c r="M16" s="5">
        <v>2585354.4618868805</v>
      </c>
      <c r="N16" s="5">
        <v>2637061.5511246179</v>
      </c>
      <c r="O16" s="5"/>
      <c r="P16" s="5"/>
      <c r="Q16" s="5"/>
      <c r="R16" s="5"/>
      <c r="S16" s="5"/>
      <c r="T16" s="5"/>
      <c r="U16" s="5"/>
      <c r="V16" s="5"/>
      <c r="W16" s="5"/>
      <c r="X16" s="5"/>
      <c r="Y16" s="5"/>
      <c r="Z16" s="5"/>
      <c r="AA16" s="5"/>
      <c r="AB16" s="5"/>
      <c r="AC16" s="5"/>
      <c r="AD16" s="5"/>
      <c r="AE16" s="5"/>
      <c r="AF16" s="5"/>
      <c r="AG16" s="5"/>
      <c r="AH16" s="5"/>
      <c r="AI16" s="5"/>
      <c r="AJ16" s="5">
        <v>163200</v>
      </c>
      <c r="AK16" s="5">
        <v>166464</v>
      </c>
      <c r="AL16" s="5">
        <v>169793.28</v>
      </c>
      <c r="AM16" s="5">
        <v>173189.14559999999</v>
      </c>
      <c r="AN16" s="5">
        <v>176652.92851199998</v>
      </c>
      <c r="AO16" s="5">
        <v>2360303.5</v>
      </c>
      <c r="AP16" s="5">
        <v>4021455.3215857064</v>
      </c>
      <c r="AQ16" s="5">
        <v>4644977.4194690268</v>
      </c>
      <c r="AR16" s="5">
        <v>4661432.2310000006</v>
      </c>
      <c r="AS16" s="5">
        <v>3757142.14</v>
      </c>
      <c r="AT16" s="5">
        <v>2240129.5</v>
      </c>
      <c r="AU16" s="5">
        <v>3154000</v>
      </c>
      <c r="AV16" s="5">
        <v>9472114</v>
      </c>
      <c r="AW16" s="5">
        <v>2140029.36</v>
      </c>
      <c r="AX16" s="5">
        <v>2182829.9472000003</v>
      </c>
      <c r="AY16" s="5">
        <v>2226486.5461440003</v>
      </c>
      <c r="AZ16" s="5">
        <v>2271016.2770668804</v>
      </c>
      <c r="BA16" s="5">
        <v>2316436.6026082179</v>
      </c>
      <c r="BB16" s="5">
        <v>683241.45</v>
      </c>
      <c r="BC16" s="5">
        <v>1003927.6049578438</v>
      </c>
      <c r="BD16" s="5">
        <v>1670739.8162999998</v>
      </c>
      <c r="BE16" s="5">
        <v>1255342.7030000002</v>
      </c>
      <c r="BF16" s="5">
        <v>867216.47200000007</v>
      </c>
      <c r="BG16" s="5">
        <v>867135.78</v>
      </c>
      <c r="BH16" s="5">
        <v>1354000</v>
      </c>
      <c r="BI16" s="5">
        <v>0</v>
      </c>
      <c r="BJ16" s="5">
        <v>133007.64000000001</v>
      </c>
      <c r="BK16" s="5">
        <v>135668.05000000005</v>
      </c>
      <c r="BL16" s="5">
        <v>138381.41100000005</v>
      </c>
      <c r="BM16" s="5">
        <v>141149.03922000006</v>
      </c>
      <c r="BN16" s="5">
        <v>143972.02000440008</v>
      </c>
    </row>
    <row r="17" spans="1:66" s="19" customFormat="1" x14ac:dyDescent="0.2">
      <c r="A17" s="17" t="s">
        <v>3</v>
      </c>
      <c r="B17" s="18">
        <v>0</v>
      </c>
      <c r="C17" s="18">
        <v>2390902.2200000002</v>
      </c>
      <c r="D17" s="18">
        <v>3256871.3126999997</v>
      </c>
      <c r="E17" s="18">
        <v>3081590.3</v>
      </c>
      <c r="F17" s="18">
        <v>5899106.6000000006</v>
      </c>
      <c r="G17" s="18">
        <v>2542290.77</v>
      </c>
      <c r="H17" s="18">
        <v>5669000</v>
      </c>
      <c r="I17" s="18">
        <v>7450581</v>
      </c>
      <c r="J17" s="18">
        <v>4765983</v>
      </c>
      <c r="K17" s="18">
        <v>4861302.0028000008</v>
      </c>
      <c r="L17" s="18">
        <v>4958528.0428560013</v>
      </c>
      <c r="M17" s="18">
        <v>5057698.6037131213</v>
      </c>
      <c r="N17" s="18">
        <v>5158852.5757873831</v>
      </c>
      <c r="O17" s="18"/>
      <c r="P17" s="18"/>
      <c r="Q17" s="18"/>
      <c r="R17" s="18"/>
      <c r="S17" s="18"/>
      <c r="T17" s="18"/>
      <c r="U17" s="18"/>
      <c r="V17" s="18"/>
      <c r="W17" s="18"/>
      <c r="X17" s="18"/>
      <c r="Y17" s="18"/>
      <c r="Z17" s="18"/>
      <c r="AA17" s="18"/>
      <c r="AB17" s="18"/>
      <c r="AC17" s="18"/>
      <c r="AD17" s="18"/>
      <c r="AE17" s="18"/>
      <c r="AF17" s="18"/>
      <c r="AG17" s="18"/>
      <c r="AH17" s="18"/>
      <c r="AI17" s="18"/>
      <c r="AJ17" s="18">
        <v>163200</v>
      </c>
      <c r="AK17" s="18">
        <v>166464</v>
      </c>
      <c r="AL17" s="18">
        <v>169793.28</v>
      </c>
      <c r="AM17" s="18">
        <v>173189.14559999999</v>
      </c>
      <c r="AN17" s="18">
        <v>176652.92851199998</v>
      </c>
      <c r="AO17" s="18">
        <v>0</v>
      </c>
      <c r="AP17" s="18">
        <v>2388106.37</v>
      </c>
      <c r="AQ17" s="18">
        <v>2582365.1799999997</v>
      </c>
      <c r="AR17" s="18">
        <v>2701044.4699999997</v>
      </c>
      <c r="AS17" s="18">
        <v>5859727.5700000003</v>
      </c>
      <c r="AT17" s="18">
        <v>2290555.81</v>
      </c>
      <c r="AU17" s="18">
        <v>5464000</v>
      </c>
      <c r="AV17" s="18">
        <v>7450581</v>
      </c>
      <c r="AW17" s="18">
        <v>4326362.6399999997</v>
      </c>
      <c r="AX17" s="18">
        <v>4412889.8928000005</v>
      </c>
      <c r="AY17" s="18">
        <v>4501147.6906560007</v>
      </c>
      <c r="AZ17" s="18">
        <v>4591170.6444691205</v>
      </c>
      <c r="BA17" s="18">
        <v>4682994.0573585033</v>
      </c>
      <c r="BB17" s="18">
        <v>0</v>
      </c>
      <c r="BC17" s="18">
        <v>2795.85</v>
      </c>
      <c r="BD17" s="18">
        <v>674506.13269999996</v>
      </c>
      <c r="BE17" s="18">
        <v>380545.8299999999</v>
      </c>
      <c r="BF17" s="18">
        <v>39379.03</v>
      </c>
      <c r="BG17" s="18">
        <v>251734.95999999996</v>
      </c>
      <c r="BH17" s="18">
        <v>205000</v>
      </c>
      <c r="BI17" s="18">
        <v>0</v>
      </c>
      <c r="BJ17" s="18">
        <v>276420.36</v>
      </c>
      <c r="BK17" s="18">
        <v>281948.11000000004</v>
      </c>
      <c r="BL17" s="18">
        <v>287587.07220000005</v>
      </c>
      <c r="BM17" s="18">
        <v>293338.81364400004</v>
      </c>
      <c r="BN17" s="18">
        <v>299205.58991688007</v>
      </c>
    </row>
    <row r="18" spans="1:66" x14ac:dyDescent="0.2">
      <c r="A18" s="1" t="s">
        <v>95</v>
      </c>
      <c r="B18" s="5">
        <v>0</v>
      </c>
      <c r="C18" s="5">
        <v>0</v>
      </c>
      <c r="D18" s="5">
        <v>0</v>
      </c>
      <c r="E18" s="5">
        <v>0</v>
      </c>
      <c r="F18" s="5">
        <v>0</v>
      </c>
      <c r="G18" s="5">
        <v>0</v>
      </c>
      <c r="H18" s="5">
        <v>0</v>
      </c>
      <c r="I18" s="5">
        <v>0</v>
      </c>
      <c r="J18" s="5">
        <v>2421116.9980000001</v>
      </c>
      <c r="K18" s="5">
        <v>2469540.0037600002</v>
      </c>
      <c r="L18" s="5">
        <v>2518930.8038352001</v>
      </c>
      <c r="M18" s="5">
        <v>2569309.4199119043</v>
      </c>
      <c r="N18" s="5">
        <v>2620695.6083101425</v>
      </c>
      <c r="O18" s="5"/>
      <c r="P18" s="5"/>
      <c r="Q18" s="5"/>
      <c r="R18" s="5"/>
      <c r="S18" s="5"/>
      <c r="T18" s="5"/>
      <c r="U18" s="5"/>
      <c r="V18" s="5"/>
      <c r="W18" s="5"/>
      <c r="X18" s="5"/>
      <c r="Y18" s="5"/>
      <c r="Z18" s="5"/>
      <c r="AA18" s="5"/>
      <c r="AB18" s="5"/>
      <c r="AC18" s="5"/>
      <c r="AD18" s="5"/>
      <c r="AE18" s="5"/>
      <c r="AF18" s="5"/>
      <c r="AG18" s="5"/>
      <c r="AH18" s="5"/>
      <c r="AI18" s="5"/>
      <c r="AJ18" s="5">
        <v>1696835.28</v>
      </c>
      <c r="AK18" s="5">
        <v>1730771.9856000002</v>
      </c>
      <c r="AL18" s="5">
        <v>1765387.4253120003</v>
      </c>
      <c r="AM18" s="5">
        <v>1800695.1738182404</v>
      </c>
      <c r="AN18" s="5">
        <v>1836709.0772946053</v>
      </c>
      <c r="AO18" s="5">
        <v>0</v>
      </c>
      <c r="AP18" s="5">
        <v>0</v>
      </c>
      <c r="AQ18" s="5">
        <v>0</v>
      </c>
      <c r="AR18" s="5">
        <v>0</v>
      </c>
      <c r="AS18" s="5">
        <v>0</v>
      </c>
      <c r="AT18" s="5">
        <v>0</v>
      </c>
      <c r="AU18" s="5">
        <v>0</v>
      </c>
      <c r="AV18" s="5">
        <v>0</v>
      </c>
      <c r="AW18" s="5">
        <v>520282.00799999997</v>
      </c>
      <c r="AX18" s="5">
        <v>530687.64815999998</v>
      </c>
      <c r="AY18" s="5">
        <v>541301.40112319996</v>
      </c>
      <c r="AZ18" s="5">
        <v>552127.42914566398</v>
      </c>
      <c r="BA18" s="5">
        <v>563169.97772857721</v>
      </c>
      <c r="BB18" s="5">
        <v>0</v>
      </c>
      <c r="BC18" s="5">
        <v>0</v>
      </c>
      <c r="BD18" s="5">
        <v>0</v>
      </c>
      <c r="BE18" s="5">
        <v>0</v>
      </c>
      <c r="BF18" s="5">
        <v>0</v>
      </c>
      <c r="BG18" s="5">
        <v>0</v>
      </c>
      <c r="BH18" s="5">
        <v>0</v>
      </c>
      <c r="BI18" s="5">
        <v>0</v>
      </c>
      <c r="BJ18" s="5">
        <v>203999.71</v>
      </c>
      <c r="BK18" s="5">
        <v>208080.37</v>
      </c>
      <c r="BL18" s="5">
        <v>212241.9774</v>
      </c>
      <c r="BM18" s="5">
        <v>216486.81694800002</v>
      </c>
      <c r="BN18" s="5">
        <v>220816.55328696003</v>
      </c>
    </row>
    <row r="19" spans="1:66" x14ac:dyDescent="0.2">
      <c r="A19" s="1" t="s">
        <v>66</v>
      </c>
      <c r="B19" s="5">
        <v>8878837.1134290267</v>
      </c>
      <c r="C19" s="5">
        <v>12123521.729580924</v>
      </c>
      <c r="D19" s="5">
        <v>13788162.136968069</v>
      </c>
      <c r="E19" s="5">
        <v>12254486.869984111</v>
      </c>
      <c r="F19" s="5">
        <v>13389865.744605105</v>
      </c>
      <c r="G19" s="5">
        <v>11348569.455540862</v>
      </c>
      <c r="H19" s="5">
        <v>10076660.88127451</v>
      </c>
      <c r="I19" s="5">
        <v>11051214.97952655</v>
      </c>
      <c r="J19" s="5">
        <v>17828114.004956003</v>
      </c>
      <c r="K19" s="5">
        <v>18184676.001855124</v>
      </c>
      <c r="L19" s="5">
        <v>18548369.521892227</v>
      </c>
      <c r="M19" s="5">
        <v>18919336.912330072</v>
      </c>
      <c r="N19" s="5">
        <v>19297723.650576673</v>
      </c>
      <c r="O19" s="5">
        <v>2203682.7834290266</v>
      </c>
      <c r="P19" s="5">
        <v>2491535.0803310969</v>
      </c>
      <c r="Q19" s="5">
        <v>2687427.5759680672</v>
      </c>
      <c r="R19" s="5">
        <v>2606124.4659841121</v>
      </c>
      <c r="S19" s="5">
        <v>2501842.2016051048</v>
      </c>
      <c r="T19" s="5">
        <v>2476936.1455408623</v>
      </c>
      <c r="U19" s="5">
        <v>2026660.8812745099</v>
      </c>
      <c r="V19" s="5">
        <v>2137387.2361343564</v>
      </c>
      <c r="W19" s="5">
        <v>3956114.0049560037</v>
      </c>
      <c r="X19" s="5">
        <v>4035236.0018551238</v>
      </c>
      <c r="Y19" s="5">
        <v>4115940.7218922265</v>
      </c>
      <c r="Z19" s="5">
        <v>4198259.5363300713</v>
      </c>
      <c r="AA19" s="5">
        <v>4282224.7270566728</v>
      </c>
      <c r="AB19" s="5">
        <v>0</v>
      </c>
      <c r="AC19" s="5">
        <v>0</v>
      </c>
      <c r="AD19" s="5">
        <v>0</v>
      </c>
      <c r="AE19" s="5">
        <v>0</v>
      </c>
      <c r="AF19" s="5">
        <v>0</v>
      </c>
      <c r="AG19" s="5">
        <v>0</v>
      </c>
      <c r="AH19" s="5">
        <v>0</v>
      </c>
      <c r="AI19" s="5">
        <v>0</v>
      </c>
      <c r="AJ19" s="5">
        <v>0</v>
      </c>
      <c r="AK19" s="5">
        <v>0</v>
      </c>
      <c r="AL19" s="5">
        <v>0</v>
      </c>
      <c r="AM19" s="5">
        <v>0</v>
      </c>
      <c r="AN19" s="5">
        <v>0</v>
      </c>
      <c r="AO19" s="5">
        <v>6027554.1200000001</v>
      </c>
      <c r="AP19" s="5">
        <v>9047920.4692498278</v>
      </c>
      <c r="AQ19" s="5">
        <v>10401668.25</v>
      </c>
      <c r="AR19" s="5">
        <v>9053171.0930000003</v>
      </c>
      <c r="AS19" s="5">
        <v>10592909.129999999</v>
      </c>
      <c r="AT19" s="5">
        <v>8441531.0299999993</v>
      </c>
      <c r="AU19" s="5">
        <v>7860000</v>
      </c>
      <c r="AV19" s="5">
        <v>8913827.7433921937</v>
      </c>
      <c r="AW19" s="5">
        <v>13464000</v>
      </c>
      <c r="AX19" s="5">
        <v>13733280</v>
      </c>
      <c r="AY19" s="5">
        <v>14007945.6</v>
      </c>
      <c r="AZ19" s="5">
        <v>14288104.512</v>
      </c>
      <c r="BA19" s="5">
        <v>14573866.60224</v>
      </c>
      <c r="BB19" s="5">
        <v>647600.21</v>
      </c>
      <c r="BC19" s="5">
        <v>584066.18000000005</v>
      </c>
      <c r="BD19" s="5">
        <v>699066.31099999999</v>
      </c>
      <c r="BE19" s="5">
        <v>595191.31099999975</v>
      </c>
      <c r="BF19" s="5">
        <v>295114.413</v>
      </c>
      <c r="BG19" s="5">
        <v>430102.27999999997</v>
      </c>
      <c r="BH19" s="5">
        <v>190000</v>
      </c>
      <c r="BI19" s="5"/>
      <c r="BJ19" s="5">
        <v>408000</v>
      </c>
      <c r="BK19" s="5">
        <v>416160</v>
      </c>
      <c r="BL19" s="5">
        <v>424483.2</v>
      </c>
      <c r="BM19" s="5">
        <v>432972.864</v>
      </c>
      <c r="BN19" s="5">
        <v>441632.32128000003</v>
      </c>
    </row>
    <row r="20" spans="1:66" x14ac:dyDescent="0.2">
      <c r="A20" s="1" t="s">
        <v>96</v>
      </c>
      <c r="B20" s="5">
        <v>6675154.3300000001</v>
      </c>
      <c r="C20" s="5">
        <v>9631986.6492498275</v>
      </c>
      <c r="D20" s="5">
        <v>11100734.561000001</v>
      </c>
      <c r="E20" s="5">
        <v>9648362.4039999992</v>
      </c>
      <c r="F20" s="5">
        <v>10888023.543</v>
      </c>
      <c r="G20" s="5">
        <v>8871633.3099999987</v>
      </c>
      <c r="H20" s="5">
        <v>8050000</v>
      </c>
      <c r="I20" s="5">
        <v>8913827.7433921937</v>
      </c>
      <c r="J20" s="5">
        <v>13872000</v>
      </c>
      <c r="K20" s="5">
        <v>14149440</v>
      </c>
      <c r="L20" s="5">
        <v>14432428.799999999</v>
      </c>
      <c r="M20" s="5">
        <v>14721077.376</v>
      </c>
      <c r="N20" s="5">
        <v>15015498.923520001</v>
      </c>
      <c r="O20" s="5"/>
      <c r="P20" s="5"/>
      <c r="Q20" s="5"/>
      <c r="R20" s="5"/>
      <c r="S20" s="5"/>
      <c r="T20" s="5"/>
      <c r="U20" s="5"/>
      <c r="V20" s="5"/>
      <c r="W20" s="5"/>
      <c r="X20" s="5"/>
      <c r="Y20" s="5"/>
      <c r="Z20" s="5"/>
      <c r="AA20" s="5"/>
      <c r="AB20" s="5"/>
      <c r="AC20" s="5"/>
      <c r="AD20" s="5"/>
      <c r="AE20" s="5"/>
      <c r="AF20" s="5"/>
      <c r="AG20" s="5"/>
      <c r="AH20" s="5"/>
      <c r="AI20" s="5"/>
      <c r="AJ20" s="5">
        <v>0</v>
      </c>
      <c r="AK20" s="5">
        <v>0</v>
      </c>
      <c r="AL20" s="5">
        <v>0</v>
      </c>
      <c r="AM20" s="5">
        <v>0</v>
      </c>
      <c r="AN20" s="5">
        <v>0</v>
      </c>
      <c r="AO20" s="5">
        <v>6027554.1200000001</v>
      </c>
      <c r="AP20" s="5">
        <v>9047920.4692498278</v>
      </c>
      <c r="AQ20" s="5">
        <v>10401668.25</v>
      </c>
      <c r="AR20" s="5">
        <v>9053171.0930000003</v>
      </c>
      <c r="AS20" s="5">
        <v>10592909.129999999</v>
      </c>
      <c r="AT20" s="5">
        <v>8441531.0299999993</v>
      </c>
      <c r="AU20" s="5">
        <v>7860000</v>
      </c>
      <c r="AV20" s="5">
        <v>8913827.7433921937</v>
      </c>
      <c r="AW20" s="5">
        <v>13464000</v>
      </c>
      <c r="AX20" s="5">
        <v>13733280</v>
      </c>
      <c r="AY20" s="5">
        <v>14007945.6</v>
      </c>
      <c r="AZ20" s="5">
        <v>14288104.512</v>
      </c>
      <c r="BA20" s="5">
        <v>14573866.60224</v>
      </c>
      <c r="BB20" s="5">
        <v>647600.21</v>
      </c>
      <c r="BC20" s="5">
        <v>584066.18000000005</v>
      </c>
      <c r="BD20" s="5">
        <v>699066.31099999999</v>
      </c>
      <c r="BE20" s="5">
        <v>595191.31099999975</v>
      </c>
      <c r="BF20" s="5">
        <v>295114.413</v>
      </c>
      <c r="BG20" s="5">
        <v>430102.27999999997</v>
      </c>
      <c r="BH20" s="5">
        <v>190000</v>
      </c>
      <c r="BI20" s="5">
        <v>0</v>
      </c>
      <c r="BJ20" s="5">
        <v>408000</v>
      </c>
      <c r="BK20" s="5">
        <v>416160</v>
      </c>
      <c r="BL20" s="5">
        <v>424483.2</v>
      </c>
      <c r="BM20" s="5">
        <v>432972.864</v>
      </c>
      <c r="BN20" s="5">
        <v>441632.32128000003</v>
      </c>
    </row>
    <row r="21" spans="1:66" x14ac:dyDescent="0.2">
      <c r="A21" s="1" t="s">
        <v>67</v>
      </c>
      <c r="B21" s="5">
        <v>3087217.88</v>
      </c>
      <c r="C21" s="5">
        <v>2951494.09</v>
      </c>
      <c r="D21" s="5">
        <v>2622761.6999999997</v>
      </c>
      <c r="E21" s="5">
        <v>2821880.7699999996</v>
      </c>
      <c r="F21" s="5">
        <v>3088606.3200000003</v>
      </c>
      <c r="G21" s="5">
        <v>3338499.03</v>
      </c>
      <c r="H21" s="5">
        <v>3572957.81</v>
      </c>
      <c r="I21" s="5">
        <v>3937000</v>
      </c>
      <c r="J21" s="5">
        <v>2766624.0003840011</v>
      </c>
      <c r="K21" s="5">
        <v>2821957.0043916814</v>
      </c>
      <c r="L21" s="5">
        <v>2878396.144479515</v>
      </c>
      <c r="M21" s="5">
        <v>2935964.0673691058</v>
      </c>
      <c r="N21" s="5">
        <v>2994683.3487164876</v>
      </c>
      <c r="O21" s="5">
        <v>863932.75</v>
      </c>
      <c r="P21" s="5">
        <v>509939.24</v>
      </c>
      <c r="Q21" s="5">
        <v>495557.13</v>
      </c>
      <c r="R21" s="5">
        <v>480819.49</v>
      </c>
      <c r="S21" s="5">
        <v>403996.12</v>
      </c>
      <c r="T21" s="5">
        <v>416851.36</v>
      </c>
      <c r="U21" s="5">
        <v>422957.80999999994</v>
      </c>
      <c r="V21" s="5">
        <v>787000</v>
      </c>
      <c r="W21" s="5">
        <v>216624.00038400127</v>
      </c>
      <c r="X21" s="5">
        <v>220957.00439168132</v>
      </c>
      <c r="Y21" s="5">
        <v>225376.14447951494</v>
      </c>
      <c r="Z21" s="5">
        <v>229883.66736910524</v>
      </c>
      <c r="AA21" s="5">
        <v>234481.34071648735</v>
      </c>
      <c r="AB21" s="5">
        <v>0</v>
      </c>
      <c r="AC21" s="5">
        <v>0</v>
      </c>
      <c r="AD21" s="5">
        <v>0</v>
      </c>
      <c r="AE21" s="5">
        <v>0</v>
      </c>
      <c r="AF21" s="5">
        <v>0</v>
      </c>
      <c r="AG21" s="5">
        <v>0</v>
      </c>
      <c r="AH21" s="5">
        <v>0</v>
      </c>
      <c r="AI21" s="5">
        <v>0</v>
      </c>
      <c r="AJ21" s="5">
        <v>0</v>
      </c>
      <c r="AK21" s="5">
        <v>0</v>
      </c>
      <c r="AL21" s="5">
        <v>0</v>
      </c>
      <c r="AM21" s="5">
        <v>0</v>
      </c>
      <c r="AN21" s="5">
        <v>0</v>
      </c>
      <c r="AO21" s="5">
        <v>2219150.9299999997</v>
      </c>
      <c r="AP21" s="5">
        <v>2441233.0499999998</v>
      </c>
      <c r="AQ21" s="5">
        <v>2114334.5699999998</v>
      </c>
      <c r="AR21" s="5">
        <v>2340899.2199999997</v>
      </c>
      <c r="AS21" s="5">
        <v>2684478.91</v>
      </c>
      <c r="AT21" s="5">
        <v>2887015.55</v>
      </c>
      <c r="AU21" s="5">
        <v>3000000</v>
      </c>
      <c r="AV21" s="5">
        <v>3150000</v>
      </c>
      <c r="AW21" s="5">
        <v>2499000</v>
      </c>
      <c r="AX21" s="5">
        <v>2548980</v>
      </c>
      <c r="AY21" s="5">
        <v>2599959.6</v>
      </c>
      <c r="AZ21" s="5">
        <v>2651958.7920000004</v>
      </c>
      <c r="BA21" s="5">
        <v>2704997.9678400005</v>
      </c>
      <c r="BB21" s="5">
        <v>4134.2</v>
      </c>
      <c r="BC21" s="5">
        <v>321.8</v>
      </c>
      <c r="BD21" s="5">
        <v>12870</v>
      </c>
      <c r="BE21" s="5">
        <v>162.06</v>
      </c>
      <c r="BF21" s="5">
        <v>131.29</v>
      </c>
      <c r="BG21" s="5">
        <v>34632.119999999995</v>
      </c>
      <c r="BH21" s="5">
        <v>150000</v>
      </c>
      <c r="BI21" s="5"/>
      <c r="BJ21" s="5">
        <v>51000</v>
      </c>
      <c r="BK21" s="5">
        <v>52020</v>
      </c>
      <c r="BL21" s="5">
        <v>53060.4</v>
      </c>
      <c r="BM21" s="5">
        <v>54121.608</v>
      </c>
      <c r="BN21" s="5">
        <v>55204.040160000004</v>
      </c>
    </row>
    <row r="22" spans="1:66" x14ac:dyDescent="0.2">
      <c r="A22" s="1" t="s">
        <v>97</v>
      </c>
      <c r="B22" s="5">
        <v>2223285.13</v>
      </c>
      <c r="C22" s="5">
        <v>2441554.8499999996</v>
      </c>
      <c r="D22" s="5">
        <v>2127204.5699999998</v>
      </c>
      <c r="E22" s="5">
        <v>2341061.2799999998</v>
      </c>
      <c r="F22" s="5">
        <v>2684610.2</v>
      </c>
      <c r="G22" s="5">
        <v>2921647.67</v>
      </c>
      <c r="H22" s="5">
        <v>3150000</v>
      </c>
      <c r="I22" s="5">
        <v>3150000</v>
      </c>
      <c r="J22" s="5">
        <v>2550000</v>
      </c>
      <c r="K22" s="5">
        <v>2601000</v>
      </c>
      <c r="L22" s="5">
        <v>2653020</v>
      </c>
      <c r="M22" s="5">
        <v>2706080.4000000004</v>
      </c>
      <c r="N22" s="5">
        <v>2760202.0080000004</v>
      </c>
      <c r="O22" s="5"/>
      <c r="P22" s="5"/>
      <c r="Q22" s="5"/>
      <c r="R22" s="5"/>
      <c r="S22" s="5"/>
      <c r="T22" s="5"/>
      <c r="U22" s="5"/>
      <c r="V22" s="5"/>
      <c r="W22" s="5"/>
      <c r="X22" s="5"/>
      <c r="Y22" s="5"/>
      <c r="Z22" s="5"/>
      <c r="AA22" s="5"/>
      <c r="AB22" s="5"/>
      <c r="AC22" s="5"/>
      <c r="AD22" s="5"/>
      <c r="AE22" s="5"/>
      <c r="AF22" s="5"/>
      <c r="AG22" s="5"/>
      <c r="AH22" s="5"/>
      <c r="AI22" s="5"/>
      <c r="AJ22" s="5">
        <v>0</v>
      </c>
      <c r="AK22" s="5">
        <v>0</v>
      </c>
      <c r="AL22" s="5">
        <v>0</v>
      </c>
      <c r="AM22" s="5">
        <v>0</v>
      </c>
      <c r="AN22" s="5">
        <v>0</v>
      </c>
      <c r="AO22" s="5">
        <v>2219150.9299999997</v>
      </c>
      <c r="AP22" s="5">
        <v>2441233.0499999998</v>
      </c>
      <c r="AQ22" s="5">
        <v>2114334.5699999998</v>
      </c>
      <c r="AR22" s="5">
        <v>2340899.2199999997</v>
      </c>
      <c r="AS22" s="5">
        <v>2684478.91</v>
      </c>
      <c r="AT22" s="5">
        <v>2887015.55</v>
      </c>
      <c r="AU22" s="5">
        <v>3000000</v>
      </c>
      <c r="AV22" s="5">
        <v>3150000</v>
      </c>
      <c r="AW22" s="5">
        <v>2499000</v>
      </c>
      <c r="AX22" s="5">
        <v>2548980</v>
      </c>
      <c r="AY22" s="5">
        <v>2599959.6</v>
      </c>
      <c r="AZ22" s="5">
        <v>2651958.7920000004</v>
      </c>
      <c r="BA22" s="5">
        <v>2704997.9678400005</v>
      </c>
      <c r="BB22" s="5">
        <v>4134.2</v>
      </c>
      <c r="BC22" s="5">
        <v>321.8</v>
      </c>
      <c r="BD22" s="5">
        <v>12870</v>
      </c>
      <c r="BE22" s="5">
        <v>162.06</v>
      </c>
      <c r="BF22" s="5">
        <v>131.29</v>
      </c>
      <c r="BG22" s="5">
        <v>34632.119999999995</v>
      </c>
      <c r="BH22" s="5">
        <v>150000</v>
      </c>
      <c r="BI22" s="5">
        <v>0</v>
      </c>
      <c r="BJ22" s="5">
        <v>51000</v>
      </c>
      <c r="BK22" s="5">
        <v>52020</v>
      </c>
      <c r="BL22" s="5">
        <v>53060.4</v>
      </c>
      <c r="BM22" s="5">
        <v>54121.608</v>
      </c>
      <c r="BN22" s="5">
        <v>55204.040160000004</v>
      </c>
    </row>
    <row r="23" spans="1:66" x14ac:dyDescent="0.2">
      <c r="A23" s="1" t="s">
        <v>98</v>
      </c>
      <c r="B23" s="5">
        <v>0</v>
      </c>
      <c r="C23" s="5">
        <v>0</v>
      </c>
      <c r="D23" s="5">
        <v>0</v>
      </c>
      <c r="E23" s="5">
        <v>0</v>
      </c>
      <c r="F23" s="5">
        <v>0</v>
      </c>
      <c r="G23" s="5">
        <v>0</v>
      </c>
      <c r="H23" s="5">
        <v>0</v>
      </c>
      <c r="I23" s="5">
        <v>0</v>
      </c>
      <c r="J23" s="5">
        <v>1221656.0000960003</v>
      </c>
      <c r="K23" s="5">
        <v>1222739.0010979204</v>
      </c>
      <c r="L23" s="5">
        <v>1247193.7811198786</v>
      </c>
      <c r="M23" s="5">
        <v>1272137.6567422764</v>
      </c>
      <c r="N23" s="5">
        <v>1297580.4098771217</v>
      </c>
      <c r="O23" s="5"/>
      <c r="P23" s="5"/>
      <c r="Q23" s="5"/>
      <c r="R23" s="5"/>
      <c r="S23" s="5"/>
      <c r="T23" s="5"/>
      <c r="U23" s="5">
        <v>0</v>
      </c>
      <c r="V23" s="5">
        <v>0</v>
      </c>
      <c r="W23" s="5">
        <v>104156.00009600032</v>
      </c>
      <c r="X23" s="5">
        <v>105239.00109792032</v>
      </c>
      <c r="Y23" s="5">
        <v>107343.78111987872</v>
      </c>
      <c r="Z23" s="5">
        <v>109490.6567422763</v>
      </c>
      <c r="AA23" s="5">
        <v>111680.46987712182</v>
      </c>
      <c r="AB23" s="5">
        <v>0</v>
      </c>
      <c r="AC23" s="5">
        <v>0</v>
      </c>
      <c r="AD23" s="5">
        <v>0</v>
      </c>
      <c r="AE23" s="5">
        <v>0</v>
      </c>
      <c r="AF23" s="5">
        <v>0</v>
      </c>
      <c r="AG23" s="5">
        <v>0</v>
      </c>
      <c r="AH23" s="5">
        <v>0</v>
      </c>
      <c r="AI23" s="5">
        <v>0</v>
      </c>
      <c r="AJ23" s="5">
        <v>450000</v>
      </c>
      <c r="AK23" s="5">
        <v>450000</v>
      </c>
      <c r="AL23" s="5">
        <v>459000</v>
      </c>
      <c r="AM23" s="5">
        <v>468180</v>
      </c>
      <c r="AN23" s="5">
        <v>477543.60000000003</v>
      </c>
      <c r="AO23" s="5">
        <v>0</v>
      </c>
      <c r="AP23" s="5">
        <v>0</v>
      </c>
      <c r="AQ23" s="5">
        <v>0</v>
      </c>
      <c r="AR23" s="5">
        <v>0</v>
      </c>
      <c r="AS23" s="5">
        <v>0</v>
      </c>
      <c r="AT23" s="5">
        <v>0</v>
      </c>
      <c r="AU23" s="5">
        <v>0</v>
      </c>
      <c r="AV23" s="5">
        <v>0</v>
      </c>
      <c r="AW23" s="5">
        <v>637500</v>
      </c>
      <c r="AX23" s="5">
        <v>637500</v>
      </c>
      <c r="AY23" s="5">
        <v>650250</v>
      </c>
      <c r="AZ23" s="5">
        <v>663255</v>
      </c>
      <c r="BA23" s="5">
        <v>676520.1</v>
      </c>
      <c r="BB23" s="5">
        <v>0</v>
      </c>
      <c r="BC23" s="5">
        <v>0</v>
      </c>
      <c r="BD23" s="5">
        <v>0</v>
      </c>
      <c r="BE23" s="5">
        <v>0</v>
      </c>
      <c r="BF23" s="5">
        <v>0</v>
      </c>
      <c r="BG23" s="5">
        <v>0</v>
      </c>
      <c r="BH23" s="5">
        <v>0</v>
      </c>
      <c r="BI23" s="5"/>
      <c r="BJ23" s="5">
        <v>30000</v>
      </c>
      <c r="BK23" s="5">
        <v>30000</v>
      </c>
      <c r="BL23" s="5">
        <v>30600</v>
      </c>
      <c r="BM23" s="5">
        <v>31212</v>
      </c>
      <c r="BN23" s="5">
        <v>31836.240000000002</v>
      </c>
    </row>
    <row r="24" spans="1:66" x14ac:dyDescent="0.2">
      <c r="A24" s="1" t="s">
        <v>99</v>
      </c>
      <c r="B24" s="5">
        <v>0</v>
      </c>
      <c r="C24" s="5">
        <v>0</v>
      </c>
      <c r="D24" s="5">
        <v>0</v>
      </c>
      <c r="E24" s="5">
        <v>0</v>
      </c>
      <c r="F24" s="5">
        <v>0</v>
      </c>
      <c r="G24" s="5">
        <v>0</v>
      </c>
      <c r="H24" s="5">
        <v>0</v>
      </c>
      <c r="I24" s="5">
        <v>0</v>
      </c>
      <c r="J24" s="5">
        <v>1117500</v>
      </c>
      <c r="K24" s="5">
        <v>1117500</v>
      </c>
      <c r="L24" s="5">
        <v>1139850</v>
      </c>
      <c r="M24" s="5">
        <v>1162647</v>
      </c>
      <c r="N24" s="5">
        <v>1185899.94</v>
      </c>
      <c r="O24" s="5"/>
      <c r="P24" s="5"/>
      <c r="Q24" s="5"/>
      <c r="R24" s="5"/>
      <c r="S24" s="5"/>
      <c r="T24" s="5"/>
      <c r="U24" s="5"/>
      <c r="V24" s="5"/>
      <c r="W24" s="5"/>
      <c r="X24" s="5"/>
      <c r="Y24" s="5"/>
      <c r="Z24" s="5"/>
      <c r="AA24" s="5"/>
      <c r="AB24" s="5"/>
      <c r="AC24" s="5"/>
      <c r="AD24" s="5"/>
      <c r="AE24" s="5"/>
      <c r="AF24" s="5"/>
      <c r="AG24" s="5"/>
      <c r="AH24" s="5"/>
      <c r="AI24" s="5"/>
      <c r="AJ24" s="5">
        <v>450000</v>
      </c>
      <c r="AK24" s="5">
        <v>450000</v>
      </c>
      <c r="AL24" s="5">
        <v>459000</v>
      </c>
      <c r="AM24" s="5">
        <v>468180</v>
      </c>
      <c r="AN24" s="5">
        <v>477543.60000000003</v>
      </c>
      <c r="AO24" s="5">
        <v>0</v>
      </c>
      <c r="AP24" s="5">
        <v>0</v>
      </c>
      <c r="AQ24" s="5">
        <v>0</v>
      </c>
      <c r="AR24" s="5">
        <v>0</v>
      </c>
      <c r="AS24" s="5">
        <v>0</v>
      </c>
      <c r="AT24" s="5">
        <v>0</v>
      </c>
      <c r="AU24" s="5">
        <v>0</v>
      </c>
      <c r="AV24" s="5">
        <v>0</v>
      </c>
      <c r="AW24" s="5">
        <v>637500</v>
      </c>
      <c r="AX24" s="5">
        <v>637500</v>
      </c>
      <c r="AY24" s="5">
        <v>650250</v>
      </c>
      <c r="AZ24" s="5">
        <v>663255</v>
      </c>
      <c r="BA24" s="5">
        <v>676520.1</v>
      </c>
      <c r="BB24" s="5">
        <v>0</v>
      </c>
      <c r="BC24" s="5">
        <v>0</v>
      </c>
      <c r="BD24" s="5">
        <v>0</v>
      </c>
      <c r="BE24" s="5">
        <v>0</v>
      </c>
      <c r="BF24" s="5">
        <v>0</v>
      </c>
      <c r="BG24" s="5">
        <v>0</v>
      </c>
      <c r="BH24" s="5">
        <v>0</v>
      </c>
      <c r="BI24" s="5">
        <v>0</v>
      </c>
      <c r="BJ24" s="5">
        <v>30000</v>
      </c>
      <c r="BK24" s="5">
        <v>30000</v>
      </c>
      <c r="BL24" s="5">
        <v>30600</v>
      </c>
      <c r="BM24" s="5">
        <v>31212</v>
      </c>
      <c r="BN24" s="5">
        <v>31836.240000000002</v>
      </c>
    </row>
    <row r="25" spans="1:66" x14ac:dyDescent="0.2">
      <c r="A25" s="1" t="s">
        <v>68</v>
      </c>
      <c r="B25" s="5">
        <v>3762915.6248332653</v>
      </c>
      <c r="C25" s="5">
        <v>5976346.8462982802</v>
      </c>
      <c r="D25" s="5">
        <v>8381741.2564867847</v>
      </c>
      <c r="E25" s="5">
        <v>9297484.1446971092</v>
      </c>
      <c r="F25" s="5">
        <v>9262002.3630559985</v>
      </c>
      <c r="G25" s="5">
        <v>8171335.9806895033</v>
      </c>
      <c r="H25" s="5">
        <v>7919638.7458157297</v>
      </c>
      <c r="I25" s="5">
        <v>7874414.9509272948</v>
      </c>
      <c r="J25" s="5">
        <v>8437502.9980540369</v>
      </c>
      <c r="K25" s="5">
        <v>9546353.9920151159</v>
      </c>
      <c r="L25" s="5">
        <v>11897042.997745574</v>
      </c>
      <c r="M25" s="5">
        <v>14402734.162502209</v>
      </c>
      <c r="N25" s="5">
        <v>17071926.438907936</v>
      </c>
      <c r="O25" s="5">
        <v>839328.47483326495</v>
      </c>
      <c r="P25" s="5">
        <v>820623.43178500491</v>
      </c>
      <c r="Q25" s="5">
        <v>1029655.4064867854</v>
      </c>
      <c r="R25" s="5">
        <v>1064703.2746971105</v>
      </c>
      <c r="S25" s="5">
        <v>944756.05305599829</v>
      </c>
      <c r="T25" s="5">
        <v>892249.21068950137</v>
      </c>
      <c r="U25" s="5">
        <v>855860.74581572996</v>
      </c>
      <c r="V25" s="5">
        <v>903490.95092729456</v>
      </c>
      <c r="W25" s="5">
        <v>522570.99884141923</v>
      </c>
      <c r="X25" s="5">
        <v>532122.99661824759</v>
      </c>
      <c r="Y25" s="5">
        <v>542765.45655061258</v>
      </c>
      <c r="Z25" s="5">
        <v>553620.76568162488</v>
      </c>
      <c r="AA25" s="5">
        <v>564693.18099525734</v>
      </c>
      <c r="AB25" s="5">
        <v>0</v>
      </c>
      <c r="AC25" s="5">
        <v>0</v>
      </c>
      <c r="AD25" s="5">
        <v>0</v>
      </c>
      <c r="AE25" s="5">
        <v>0</v>
      </c>
      <c r="AF25" s="5">
        <v>0</v>
      </c>
      <c r="AG25" s="5">
        <v>0</v>
      </c>
      <c r="AH25" s="5">
        <v>0</v>
      </c>
      <c r="AI25" s="5">
        <v>0</v>
      </c>
      <c r="AJ25" s="5">
        <v>3702900</v>
      </c>
      <c r="AK25" s="5">
        <v>4327800</v>
      </c>
      <c r="AL25" s="5">
        <v>5451273.9209674662</v>
      </c>
      <c r="AM25" s="5">
        <v>6649063.3520892281</v>
      </c>
      <c r="AN25" s="5">
        <v>7925246.6605388131</v>
      </c>
      <c r="AO25" s="5">
        <v>1898198.85</v>
      </c>
      <c r="AP25" s="5">
        <v>3915426.0245132744</v>
      </c>
      <c r="AQ25" s="5">
        <v>5624320.1699999999</v>
      </c>
      <c r="AR25" s="5">
        <v>6200457.1199999992</v>
      </c>
      <c r="AS25" s="5">
        <v>6410030.8399999999</v>
      </c>
      <c r="AT25" s="5">
        <v>5947716.2100000009</v>
      </c>
      <c r="AU25" s="5">
        <v>5220100</v>
      </c>
      <c r="AV25" s="5">
        <v>6970924</v>
      </c>
      <c r="AW25" s="5">
        <v>2818600</v>
      </c>
      <c r="AX25" s="5">
        <v>3579200</v>
      </c>
      <c r="AY25" s="5">
        <v>4508341.3322997261</v>
      </c>
      <c r="AZ25" s="5">
        <v>5498943.4700766588</v>
      </c>
      <c r="BA25" s="5">
        <v>6554379.3260780349</v>
      </c>
      <c r="BB25" s="5">
        <v>1025388.3</v>
      </c>
      <c r="BC25" s="5">
        <v>1240297.3900000001</v>
      </c>
      <c r="BD25" s="5">
        <v>1727765.6800000002</v>
      </c>
      <c r="BE25" s="5">
        <v>2032323.7500000002</v>
      </c>
      <c r="BF25" s="5">
        <v>1907215.4699999997</v>
      </c>
      <c r="BG25" s="5">
        <v>1331370.56</v>
      </c>
      <c r="BH25" s="5">
        <v>1843678</v>
      </c>
      <c r="BI25" s="5"/>
      <c r="BJ25" s="5">
        <v>1393431.9992126175</v>
      </c>
      <c r="BK25" s="5">
        <v>1107230.9953968688</v>
      </c>
      <c r="BL25" s="5">
        <v>1394662.2879277691</v>
      </c>
      <c r="BM25" s="5">
        <v>1701106.574654697</v>
      </c>
      <c r="BN25" s="5">
        <v>2027607.2712958318</v>
      </c>
    </row>
    <row r="26" spans="1:66" x14ac:dyDescent="0.2">
      <c r="A26" s="1" t="s">
        <v>52</v>
      </c>
      <c r="B26" s="5">
        <v>2032022.12</v>
      </c>
      <c r="C26" s="5">
        <v>3469120.8345132745</v>
      </c>
      <c r="D26" s="5">
        <v>4216283.71</v>
      </c>
      <c r="E26" s="5">
        <v>4257045.3100000005</v>
      </c>
      <c r="F26" s="5">
        <v>4178404.0199999996</v>
      </c>
      <c r="G26" s="5">
        <v>3326433.6</v>
      </c>
      <c r="H26" s="5">
        <v>3824128</v>
      </c>
      <c r="I26" s="5">
        <v>3392296</v>
      </c>
      <c r="J26" s="5">
        <v>4057500</v>
      </c>
      <c r="K26" s="5">
        <v>4715000</v>
      </c>
      <c r="L26" s="5"/>
      <c r="M26" s="5"/>
      <c r="N26" s="5"/>
      <c r="O26" s="5"/>
      <c r="P26" s="5"/>
      <c r="Q26" s="5"/>
      <c r="R26" s="5"/>
      <c r="S26" s="5"/>
      <c r="T26" s="5"/>
      <c r="U26" s="5"/>
      <c r="V26" s="5"/>
      <c r="W26" s="5"/>
      <c r="X26" s="5"/>
      <c r="Y26" s="5"/>
      <c r="Z26" s="5"/>
      <c r="AA26" s="5"/>
      <c r="AB26" s="5"/>
      <c r="AC26" s="5"/>
      <c r="AD26" s="5"/>
      <c r="AE26" s="5"/>
      <c r="AF26" s="5"/>
      <c r="AG26" s="5"/>
      <c r="AH26" s="5"/>
      <c r="AI26" s="5"/>
      <c r="AJ26" s="5">
        <v>1557500</v>
      </c>
      <c r="AK26" s="5">
        <v>1915000</v>
      </c>
      <c r="AL26" s="5"/>
      <c r="AM26" s="5"/>
      <c r="AN26" s="5"/>
      <c r="AO26" s="5">
        <v>1282839.6200000001</v>
      </c>
      <c r="AP26" s="5">
        <v>2747933.9745132746</v>
      </c>
      <c r="AQ26" s="5">
        <v>3484586.45</v>
      </c>
      <c r="AR26" s="5">
        <v>3641541.85</v>
      </c>
      <c r="AS26" s="5">
        <v>3535739.9699999997</v>
      </c>
      <c r="AT26" s="5">
        <v>2811726.54</v>
      </c>
      <c r="AU26" s="5">
        <v>3023000</v>
      </c>
      <c r="AV26" s="5">
        <v>3392296</v>
      </c>
      <c r="AW26" s="5">
        <v>1600000</v>
      </c>
      <c r="AX26" s="5">
        <v>2150000</v>
      </c>
      <c r="AY26" s="5"/>
      <c r="AZ26" s="5"/>
      <c r="BA26" s="5"/>
      <c r="BB26" s="5">
        <v>749182.5</v>
      </c>
      <c r="BC26" s="5">
        <v>721186.86</v>
      </c>
      <c r="BD26" s="5">
        <v>731697.26000000013</v>
      </c>
      <c r="BE26" s="5">
        <v>615503.46000000043</v>
      </c>
      <c r="BF26" s="5">
        <v>642664.04999999981</v>
      </c>
      <c r="BG26" s="5">
        <v>514707.06000000006</v>
      </c>
      <c r="BH26" s="5">
        <v>801128</v>
      </c>
      <c r="BI26" s="5">
        <v>0</v>
      </c>
      <c r="BJ26" s="5">
        <v>900000</v>
      </c>
      <c r="BK26" s="5">
        <v>650000</v>
      </c>
      <c r="BL26" s="5"/>
      <c r="BM26" s="5"/>
      <c r="BN26" s="5"/>
    </row>
    <row r="27" spans="1:66" x14ac:dyDescent="0.2">
      <c r="A27" s="1" t="s">
        <v>53</v>
      </c>
      <c r="B27" s="5">
        <v>890463.97</v>
      </c>
      <c r="C27" s="5">
        <v>1427725.18</v>
      </c>
      <c r="D27" s="5">
        <v>1976846.44</v>
      </c>
      <c r="E27" s="5">
        <v>2223544.9099999997</v>
      </c>
      <c r="F27" s="5">
        <v>2416538.4800000004</v>
      </c>
      <c r="G27" s="5">
        <v>2233668.9500000002</v>
      </c>
      <c r="H27" s="5">
        <v>1615000</v>
      </c>
      <c r="I27" s="5">
        <v>2122068</v>
      </c>
      <c r="J27" s="5">
        <v>1236000</v>
      </c>
      <c r="K27" s="5">
        <v>1347000</v>
      </c>
      <c r="L27" s="5"/>
      <c r="M27" s="5"/>
      <c r="N27" s="5"/>
      <c r="O27" s="5"/>
      <c r="P27" s="5"/>
      <c r="Q27" s="5"/>
      <c r="R27" s="5"/>
      <c r="S27" s="5"/>
      <c r="T27" s="5"/>
      <c r="U27" s="5"/>
      <c r="V27" s="5"/>
      <c r="W27" s="5"/>
      <c r="X27" s="5"/>
      <c r="Y27" s="5"/>
      <c r="Z27" s="5"/>
      <c r="AA27" s="5"/>
      <c r="AB27" s="5"/>
      <c r="AC27" s="5"/>
      <c r="AD27" s="5"/>
      <c r="AE27" s="5"/>
      <c r="AF27" s="5"/>
      <c r="AG27" s="5"/>
      <c r="AH27" s="5"/>
      <c r="AI27" s="5"/>
      <c r="AJ27" s="5">
        <v>1036000</v>
      </c>
      <c r="AK27" s="5">
        <v>1147000</v>
      </c>
      <c r="AL27" s="5"/>
      <c r="AM27" s="5"/>
      <c r="AN27" s="5"/>
      <c r="AO27" s="5">
        <v>615359.23</v>
      </c>
      <c r="AP27" s="5">
        <v>1128354.8799999999</v>
      </c>
      <c r="AQ27" s="5">
        <v>1398408.75</v>
      </c>
      <c r="AR27" s="5">
        <v>1632578.0999999996</v>
      </c>
      <c r="AS27" s="5">
        <v>1754793.5100000002</v>
      </c>
      <c r="AT27" s="5">
        <v>1987481.27</v>
      </c>
      <c r="AU27" s="5">
        <v>1185500</v>
      </c>
      <c r="AV27" s="5">
        <v>2122068</v>
      </c>
      <c r="AW27" s="5">
        <v>0</v>
      </c>
      <c r="AX27" s="5">
        <v>0</v>
      </c>
      <c r="AY27" s="5"/>
      <c r="AZ27" s="5"/>
      <c r="BA27" s="5"/>
      <c r="BB27" s="5">
        <v>275104.74</v>
      </c>
      <c r="BC27" s="5">
        <v>299370.30000000005</v>
      </c>
      <c r="BD27" s="5">
        <v>578437.68999999994</v>
      </c>
      <c r="BE27" s="5">
        <v>590966.80999999994</v>
      </c>
      <c r="BF27" s="5">
        <v>661744.97</v>
      </c>
      <c r="BG27" s="5">
        <v>246187.68000000005</v>
      </c>
      <c r="BH27" s="5">
        <v>429500</v>
      </c>
      <c r="BI27" s="5">
        <v>0</v>
      </c>
      <c r="BJ27" s="5">
        <v>200000</v>
      </c>
      <c r="BK27" s="5">
        <v>200000</v>
      </c>
      <c r="BL27" s="5"/>
      <c r="BM27" s="5"/>
      <c r="BN27" s="5"/>
    </row>
    <row r="28" spans="1:66" x14ac:dyDescent="0.2">
      <c r="A28" s="1" t="s">
        <v>69</v>
      </c>
      <c r="B28" s="5">
        <v>1101.06</v>
      </c>
      <c r="C28" s="5">
        <v>258877.40000000002</v>
      </c>
      <c r="D28" s="5">
        <v>1158955.7</v>
      </c>
      <c r="E28" s="5">
        <v>1752190.65</v>
      </c>
      <c r="F28" s="5">
        <v>1722303.81</v>
      </c>
      <c r="G28" s="5">
        <v>1718984.22</v>
      </c>
      <c r="H28" s="5">
        <v>1624650</v>
      </c>
      <c r="I28" s="5">
        <v>1456560</v>
      </c>
      <c r="J28" s="5">
        <v>2138000</v>
      </c>
      <c r="K28" s="5">
        <v>2460000</v>
      </c>
      <c r="L28" s="5"/>
      <c r="M28" s="5"/>
      <c r="N28" s="5"/>
      <c r="O28" s="5"/>
      <c r="P28" s="5"/>
      <c r="Q28" s="5"/>
      <c r="R28" s="5"/>
      <c r="S28" s="5"/>
      <c r="T28" s="5"/>
      <c r="U28" s="5"/>
      <c r="V28" s="5"/>
      <c r="W28" s="5"/>
      <c r="X28" s="5"/>
      <c r="Y28" s="5"/>
      <c r="Z28" s="5"/>
      <c r="AA28" s="5"/>
      <c r="AB28" s="5"/>
      <c r="AC28" s="5"/>
      <c r="AD28" s="5"/>
      <c r="AE28" s="5"/>
      <c r="AF28" s="5"/>
      <c r="AG28" s="5"/>
      <c r="AH28" s="5"/>
      <c r="AI28" s="5"/>
      <c r="AJ28" s="5">
        <v>984400</v>
      </c>
      <c r="AK28" s="5">
        <v>1140800</v>
      </c>
      <c r="AL28" s="5"/>
      <c r="AM28" s="5"/>
      <c r="AN28" s="5"/>
      <c r="AO28" s="5">
        <v>0</v>
      </c>
      <c r="AP28" s="5">
        <v>39137.17</v>
      </c>
      <c r="AQ28" s="5">
        <v>741324.97</v>
      </c>
      <c r="AR28" s="5">
        <v>926337.17</v>
      </c>
      <c r="AS28" s="5">
        <v>1119497.3599999999</v>
      </c>
      <c r="AT28" s="5">
        <v>1148508.3999999999</v>
      </c>
      <c r="AU28" s="5">
        <v>1011600</v>
      </c>
      <c r="AV28" s="5">
        <v>1456560</v>
      </c>
      <c r="AW28" s="5">
        <v>993600</v>
      </c>
      <c r="AX28" s="5">
        <v>1159200.0000000002</v>
      </c>
      <c r="AY28" s="5"/>
      <c r="AZ28" s="5"/>
      <c r="BA28" s="5"/>
      <c r="BB28" s="5">
        <v>1101.06</v>
      </c>
      <c r="BC28" s="5">
        <v>219740.23</v>
      </c>
      <c r="BD28" s="5">
        <v>417630.73000000004</v>
      </c>
      <c r="BE28" s="5">
        <v>825853.47999999975</v>
      </c>
      <c r="BF28" s="5">
        <v>602806.45000000007</v>
      </c>
      <c r="BG28" s="5">
        <v>570475.82000000007</v>
      </c>
      <c r="BH28" s="5">
        <v>613050</v>
      </c>
      <c r="BI28" s="5">
        <v>0</v>
      </c>
      <c r="BJ28" s="5">
        <v>160000</v>
      </c>
      <c r="BK28" s="5">
        <v>160000</v>
      </c>
      <c r="BL28" s="5"/>
      <c r="BM28" s="5"/>
      <c r="BN28" s="5"/>
    </row>
    <row r="29" spans="1:66" x14ac:dyDescent="0.2">
      <c r="A29" s="1" t="s">
        <v>100</v>
      </c>
      <c r="B29" s="5">
        <v>0</v>
      </c>
      <c r="C29" s="5">
        <v>0</v>
      </c>
      <c r="D29" s="5">
        <v>0</v>
      </c>
      <c r="E29" s="5">
        <v>0</v>
      </c>
      <c r="F29" s="5">
        <v>0</v>
      </c>
      <c r="G29" s="5">
        <v>0</v>
      </c>
      <c r="H29" s="5">
        <v>0</v>
      </c>
      <c r="I29" s="5">
        <v>0</v>
      </c>
      <c r="J29" s="5">
        <v>483431.99921261758</v>
      </c>
      <c r="K29" s="5">
        <v>492230.99539686891</v>
      </c>
      <c r="L29" s="5"/>
      <c r="M29" s="5"/>
      <c r="N29" s="5"/>
      <c r="O29" s="5"/>
      <c r="P29" s="5"/>
      <c r="Q29" s="5"/>
      <c r="R29" s="5"/>
      <c r="S29" s="5"/>
      <c r="T29" s="5"/>
      <c r="U29" s="5"/>
      <c r="V29" s="5"/>
      <c r="W29" s="5"/>
      <c r="X29" s="5"/>
      <c r="Y29" s="5"/>
      <c r="Z29" s="5"/>
      <c r="AA29" s="5"/>
      <c r="AB29" s="5"/>
      <c r="AC29" s="5"/>
      <c r="AD29" s="5"/>
      <c r="AE29" s="5"/>
      <c r="AF29" s="5"/>
      <c r="AG29" s="5"/>
      <c r="AH29" s="5"/>
      <c r="AI29" s="5"/>
      <c r="AJ29" s="5">
        <v>125000</v>
      </c>
      <c r="AK29" s="5">
        <v>125000</v>
      </c>
      <c r="AL29" s="5"/>
      <c r="AM29" s="5"/>
      <c r="AN29" s="5"/>
      <c r="AO29" s="5">
        <v>0</v>
      </c>
      <c r="AP29" s="5">
        <v>0</v>
      </c>
      <c r="AQ29" s="5">
        <v>0</v>
      </c>
      <c r="AR29" s="5">
        <v>0</v>
      </c>
      <c r="AS29" s="5">
        <v>0</v>
      </c>
      <c r="AT29" s="5">
        <v>0</v>
      </c>
      <c r="AU29" s="5">
        <v>0</v>
      </c>
      <c r="AV29" s="5">
        <v>0</v>
      </c>
      <c r="AW29" s="5">
        <v>225000</v>
      </c>
      <c r="AX29" s="5">
        <v>270000</v>
      </c>
      <c r="AY29" s="5"/>
      <c r="AZ29" s="5"/>
      <c r="BA29" s="5"/>
      <c r="BB29" s="5">
        <v>0</v>
      </c>
      <c r="BC29" s="5">
        <v>0</v>
      </c>
      <c r="BD29" s="5">
        <v>0</v>
      </c>
      <c r="BE29" s="5">
        <v>0</v>
      </c>
      <c r="BF29" s="5">
        <v>0</v>
      </c>
      <c r="BG29" s="5">
        <v>0</v>
      </c>
      <c r="BH29" s="5">
        <v>0</v>
      </c>
      <c r="BI29" s="5">
        <v>0</v>
      </c>
      <c r="BJ29" s="5">
        <v>133431.99921261758</v>
      </c>
      <c r="BK29" s="5">
        <v>97230.995396868879</v>
      </c>
      <c r="BL29" s="5"/>
      <c r="BM29" s="5"/>
      <c r="BN29" s="5"/>
    </row>
    <row r="30" spans="1:66" x14ac:dyDescent="0.2">
      <c r="A30" s="1" t="s">
        <v>101</v>
      </c>
      <c r="B30" s="5">
        <v>0</v>
      </c>
      <c r="C30" s="5">
        <v>0</v>
      </c>
      <c r="D30" s="5">
        <v>0</v>
      </c>
      <c r="E30" s="5">
        <v>0</v>
      </c>
      <c r="F30" s="5">
        <v>0</v>
      </c>
      <c r="G30" s="5">
        <v>0</v>
      </c>
      <c r="H30" s="5">
        <v>0</v>
      </c>
      <c r="I30" s="5">
        <v>0</v>
      </c>
      <c r="J30" s="5">
        <v>4590840.9918499645</v>
      </c>
      <c r="K30" s="5">
        <v>7482906.996886963</v>
      </c>
      <c r="L30" s="5">
        <v>9375653.2007345762</v>
      </c>
      <c r="M30" s="5">
        <v>11393408.959947564</v>
      </c>
      <c r="N30" s="5">
        <v>13543031.785990795</v>
      </c>
      <c r="O30" s="5"/>
      <c r="P30" s="5"/>
      <c r="Q30" s="5"/>
      <c r="R30" s="5"/>
      <c r="S30" s="5"/>
      <c r="T30" s="5"/>
      <c r="U30" s="5">
        <v>0</v>
      </c>
      <c r="V30" s="5">
        <v>0</v>
      </c>
      <c r="W30" s="5">
        <v>203679.99819661927</v>
      </c>
      <c r="X30" s="5">
        <v>207753.99736055164</v>
      </c>
      <c r="Y30" s="5">
        <v>211909.07730776267</v>
      </c>
      <c r="Z30" s="5">
        <v>216147.25885391791</v>
      </c>
      <c r="AA30" s="5">
        <v>220470.20403099628</v>
      </c>
      <c r="AB30" s="5">
        <v>0</v>
      </c>
      <c r="AC30" s="5">
        <v>0</v>
      </c>
      <c r="AD30" s="5">
        <v>0</v>
      </c>
      <c r="AE30" s="5">
        <v>0</v>
      </c>
      <c r="AF30" s="5">
        <v>0</v>
      </c>
      <c r="AG30" s="5">
        <v>0</v>
      </c>
      <c r="AH30" s="5">
        <v>0</v>
      </c>
      <c r="AI30" s="5">
        <v>0</v>
      </c>
      <c r="AJ30" s="5">
        <v>0</v>
      </c>
      <c r="AK30" s="5">
        <v>0</v>
      </c>
      <c r="AL30" s="5">
        <v>0</v>
      </c>
      <c r="AM30" s="5">
        <v>0</v>
      </c>
      <c r="AN30" s="5">
        <v>0</v>
      </c>
      <c r="AO30" s="5">
        <v>0</v>
      </c>
      <c r="AP30" s="5">
        <v>0</v>
      </c>
      <c r="AQ30" s="5">
        <v>0</v>
      </c>
      <c r="AR30" s="5">
        <v>0</v>
      </c>
      <c r="AS30" s="5">
        <v>0</v>
      </c>
      <c r="AT30" s="5">
        <v>0</v>
      </c>
      <c r="AU30" s="5">
        <v>0</v>
      </c>
      <c r="AV30" s="5">
        <v>0</v>
      </c>
      <c r="AW30" s="5">
        <v>3965550</v>
      </c>
      <c r="AX30" s="5">
        <v>6605120</v>
      </c>
      <c r="AY30" s="5">
        <v>8319774.1117566964</v>
      </c>
      <c r="AZ30" s="5">
        <v>10147849.098422201</v>
      </c>
      <c r="BA30" s="5">
        <v>12095569.393793181</v>
      </c>
      <c r="BB30" s="5">
        <v>0</v>
      </c>
      <c r="BC30" s="5">
        <v>0</v>
      </c>
      <c r="BD30" s="5">
        <v>0</v>
      </c>
      <c r="BE30" s="5">
        <v>0</v>
      </c>
      <c r="BF30" s="5">
        <v>0</v>
      </c>
      <c r="BG30" s="5">
        <v>0</v>
      </c>
      <c r="BH30" s="5">
        <v>0</v>
      </c>
      <c r="BI30" s="5"/>
      <c r="BJ30" s="5">
        <v>421610.99365334469</v>
      </c>
      <c r="BK30" s="5">
        <v>670032.99952641095</v>
      </c>
      <c r="BL30" s="5">
        <v>843970.01167011657</v>
      </c>
      <c r="BM30" s="5">
        <v>1029412.6026714446</v>
      </c>
      <c r="BN30" s="5">
        <v>1226992.1881666188</v>
      </c>
    </row>
    <row r="31" spans="1:66" x14ac:dyDescent="0.2">
      <c r="A31" s="1" t="s">
        <v>102</v>
      </c>
      <c r="B31" s="5">
        <v>0</v>
      </c>
      <c r="C31" s="5">
        <v>0</v>
      </c>
      <c r="D31" s="5">
        <v>0</v>
      </c>
      <c r="E31" s="5">
        <v>0</v>
      </c>
      <c r="F31" s="5">
        <v>0</v>
      </c>
      <c r="G31" s="5">
        <v>0</v>
      </c>
      <c r="H31" s="5">
        <v>0</v>
      </c>
      <c r="I31" s="5">
        <v>0</v>
      </c>
      <c r="J31" s="5">
        <v>2701193.9969866779</v>
      </c>
      <c r="K31" s="5">
        <v>5275586.0028597442</v>
      </c>
      <c r="L31" s="5"/>
      <c r="M31" s="5"/>
      <c r="N31" s="5"/>
      <c r="O31" s="5"/>
      <c r="P31" s="5"/>
      <c r="Q31" s="5"/>
      <c r="R31" s="5"/>
      <c r="S31" s="5"/>
      <c r="T31" s="5"/>
      <c r="U31" s="5"/>
      <c r="V31" s="5"/>
      <c r="W31" s="5"/>
      <c r="X31" s="5"/>
      <c r="Y31" s="5"/>
      <c r="Z31" s="5"/>
      <c r="AA31" s="5"/>
      <c r="AB31" s="5"/>
      <c r="AC31" s="5"/>
      <c r="AD31" s="5"/>
      <c r="AE31" s="5"/>
      <c r="AF31" s="5"/>
      <c r="AG31" s="5"/>
      <c r="AH31" s="5"/>
      <c r="AI31" s="5"/>
      <c r="AJ31" s="5">
        <v>0</v>
      </c>
      <c r="AK31" s="5">
        <v>0</v>
      </c>
      <c r="AL31" s="5"/>
      <c r="AM31" s="5"/>
      <c r="AN31" s="5"/>
      <c r="AO31" s="5">
        <v>0</v>
      </c>
      <c r="AP31" s="5">
        <v>0</v>
      </c>
      <c r="AQ31" s="5">
        <v>0</v>
      </c>
      <c r="AR31" s="5">
        <v>0</v>
      </c>
      <c r="AS31" s="5">
        <v>0</v>
      </c>
      <c r="AT31" s="5">
        <v>0</v>
      </c>
      <c r="AU31" s="5">
        <v>0</v>
      </c>
      <c r="AV31" s="5">
        <v>0</v>
      </c>
      <c r="AW31" s="5">
        <v>2436750</v>
      </c>
      <c r="AX31" s="5">
        <v>4762720</v>
      </c>
      <c r="AY31" s="5"/>
      <c r="AZ31" s="5"/>
      <c r="BA31" s="5"/>
      <c r="BB31" s="5">
        <v>0</v>
      </c>
      <c r="BC31" s="5">
        <v>0</v>
      </c>
      <c r="BD31" s="5">
        <v>0</v>
      </c>
      <c r="BE31" s="5">
        <v>0</v>
      </c>
      <c r="BF31" s="5">
        <v>0</v>
      </c>
      <c r="BG31" s="5">
        <v>0</v>
      </c>
      <c r="BH31" s="5">
        <v>0</v>
      </c>
      <c r="BI31" s="5">
        <v>0</v>
      </c>
      <c r="BJ31" s="5">
        <v>264443.99698667804</v>
      </c>
      <c r="BK31" s="5">
        <v>512866.00285974424</v>
      </c>
      <c r="BL31" s="5"/>
      <c r="BM31" s="5"/>
      <c r="BN31" s="5"/>
    </row>
    <row r="32" spans="1:66" x14ac:dyDescent="0.2">
      <c r="A32" s="1" t="s">
        <v>103</v>
      </c>
      <c r="B32" s="5">
        <v>0</v>
      </c>
      <c r="C32" s="5">
        <v>0</v>
      </c>
      <c r="D32" s="5">
        <v>0</v>
      </c>
      <c r="E32" s="5">
        <v>0</v>
      </c>
      <c r="F32" s="5">
        <v>0</v>
      </c>
      <c r="G32" s="5">
        <v>0</v>
      </c>
      <c r="H32" s="5">
        <v>0</v>
      </c>
      <c r="I32" s="5">
        <v>0</v>
      </c>
      <c r="J32" s="5">
        <v>1685966.9966666666</v>
      </c>
      <c r="K32" s="5">
        <v>1999566.9966666666</v>
      </c>
      <c r="L32" s="5"/>
      <c r="M32" s="5"/>
      <c r="N32" s="5"/>
      <c r="O32" s="5"/>
      <c r="P32" s="5"/>
      <c r="Q32" s="5"/>
      <c r="R32" s="5"/>
      <c r="S32" s="5"/>
      <c r="T32" s="5"/>
      <c r="U32" s="5"/>
      <c r="V32" s="5"/>
      <c r="W32" s="5"/>
      <c r="X32" s="5"/>
      <c r="Y32" s="5"/>
      <c r="Z32" s="5"/>
      <c r="AA32" s="5"/>
      <c r="AB32" s="5"/>
      <c r="AC32" s="5"/>
      <c r="AD32" s="5"/>
      <c r="AE32" s="5"/>
      <c r="AF32" s="5"/>
      <c r="AG32" s="5"/>
      <c r="AH32" s="5"/>
      <c r="AI32" s="5"/>
      <c r="AJ32" s="5">
        <v>0</v>
      </c>
      <c r="AK32" s="5">
        <v>0</v>
      </c>
      <c r="AL32" s="5"/>
      <c r="AM32" s="5"/>
      <c r="AN32" s="5"/>
      <c r="AO32" s="5">
        <v>0</v>
      </c>
      <c r="AP32" s="5">
        <v>0</v>
      </c>
      <c r="AQ32" s="5">
        <v>0</v>
      </c>
      <c r="AR32" s="5">
        <v>0</v>
      </c>
      <c r="AS32" s="5">
        <v>0</v>
      </c>
      <c r="AT32" s="5">
        <v>0</v>
      </c>
      <c r="AU32" s="5">
        <v>0</v>
      </c>
      <c r="AV32" s="5">
        <v>0</v>
      </c>
      <c r="AW32" s="5">
        <v>1528800</v>
      </c>
      <c r="AX32" s="5">
        <v>1842400</v>
      </c>
      <c r="AY32" s="5"/>
      <c r="AZ32" s="5"/>
      <c r="BA32" s="5"/>
      <c r="BB32" s="5">
        <v>0</v>
      </c>
      <c r="BC32" s="5">
        <v>0</v>
      </c>
      <c r="BD32" s="5">
        <v>0</v>
      </c>
      <c r="BE32" s="5">
        <v>0</v>
      </c>
      <c r="BF32" s="5">
        <v>0</v>
      </c>
      <c r="BG32" s="5">
        <v>0</v>
      </c>
      <c r="BH32" s="5">
        <v>0</v>
      </c>
      <c r="BI32" s="5">
        <v>0</v>
      </c>
      <c r="BJ32" s="5">
        <v>157166.99666666667</v>
      </c>
      <c r="BK32" s="5">
        <v>157166.99666666667</v>
      </c>
      <c r="BL32" s="5"/>
      <c r="BM32" s="5"/>
      <c r="BN32" s="5"/>
    </row>
    <row r="33" spans="1:66" x14ac:dyDescent="0.2">
      <c r="A33" s="1" t="s">
        <v>104</v>
      </c>
      <c r="B33" s="5">
        <v>1639207.7517496997</v>
      </c>
      <c r="C33" s="5">
        <v>1917484.4632273535</v>
      </c>
      <c r="D33" s="5">
        <v>2771447.673692056</v>
      </c>
      <c r="E33" s="5">
        <v>3143001.4855594365</v>
      </c>
      <c r="F33" s="5">
        <v>2922132.1078053312</v>
      </c>
      <c r="G33" s="5">
        <v>2001633.9075392017</v>
      </c>
      <c r="H33" s="5">
        <v>1595283.6081036201</v>
      </c>
      <c r="I33" s="5">
        <v>4284822.9554516533</v>
      </c>
      <c r="J33" s="5">
        <v>0</v>
      </c>
      <c r="K33" s="5">
        <v>0</v>
      </c>
      <c r="L33" s="5">
        <v>0</v>
      </c>
      <c r="M33" s="5">
        <v>0</v>
      </c>
      <c r="N33" s="5">
        <v>0</v>
      </c>
      <c r="O33" s="5">
        <v>438867.9217496998</v>
      </c>
      <c r="P33" s="5">
        <v>496223.9532273534</v>
      </c>
      <c r="Q33" s="5">
        <v>613925.17369205586</v>
      </c>
      <c r="R33" s="5">
        <v>620923.65555943619</v>
      </c>
      <c r="S33" s="5">
        <v>634725.59780533076</v>
      </c>
      <c r="T33" s="5">
        <v>597686.93753920146</v>
      </c>
      <c r="U33" s="5">
        <v>591654.60810362012</v>
      </c>
      <c r="V33" s="5">
        <v>850851.95545165334</v>
      </c>
      <c r="W33" s="5">
        <v>0</v>
      </c>
      <c r="X33" s="5">
        <v>0</v>
      </c>
      <c r="Y33" s="5">
        <v>0</v>
      </c>
      <c r="Z33" s="5">
        <v>0</v>
      </c>
      <c r="AA33" s="5">
        <v>0</v>
      </c>
      <c r="AB33" s="5">
        <v>0</v>
      </c>
      <c r="AC33" s="5">
        <v>0</v>
      </c>
      <c r="AD33" s="5">
        <v>0</v>
      </c>
      <c r="AE33" s="5">
        <v>0</v>
      </c>
      <c r="AF33" s="5">
        <v>0</v>
      </c>
      <c r="AG33" s="5">
        <v>0</v>
      </c>
      <c r="AH33" s="5">
        <v>0</v>
      </c>
      <c r="AI33" s="5">
        <v>0</v>
      </c>
      <c r="AJ33" s="5">
        <v>0</v>
      </c>
      <c r="AK33" s="5">
        <v>0</v>
      </c>
      <c r="AL33" s="5">
        <v>0</v>
      </c>
      <c r="AM33" s="5">
        <v>0</v>
      </c>
      <c r="AN33" s="5">
        <v>0</v>
      </c>
      <c r="AO33" s="5">
        <v>737891.27999999991</v>
      </c>
      <c r="AP33" s="5">
        <v>167795.91</v>
      </c>
      <c r="AQ33" s="5">
        <v>577901.53</v>
      </c>
      <c r="AR33" s="5">
        <v>769282.05</v>
      </c>
      <c r="AS33" s="5">
        <v>819593.31</v>
      </c>
      <c r="AT33" s="5">
        <v>543602.10000000009</v>
      </c>
      <c r="AU33" s="5">
        <v>307300</v>
      </c>
      <c r="AV33" s="5">
        <v>3433971</v>
      </c>
      <c r="AW33" s="5">
        <v>0</v>
      </c>
      <c r="AX33" s="5">
        <v>0</v>
      </c>
      <c r="AY33" s="5">
        <v>0</v>
      </c>
      <c r="AZ33" s="5">
        <v>0</v>
      </c>
      <c r="BA33" s="5">
        <v>0</v>
      </c>
      <c r="BB33" s="5">
        <v>462448.55</v>
      </c>
      <c r="BC33" s="5">
        <v>1253464.6000000001</v>
      </c>
      <c r="BD33" s="5">
        <v>1579620.9700000002</v>
      </c>
      <c r="BE33" s="5">
        <v>1752795.78</v>
      </c>
      <c r="BF33" s="5">
        <v>1467813.2000000002</v>
      </c>
      <c r="BG33" s="5">
        <v>860344.87</v>
      </c>
      <c r="BH33" s="5">
        <v>696329</v>
      </c>
      <c r="BI33" s="5"/>
      <c r="BJ33" s="5">
        <v>0</v>
      </c>
      <c r="BK33" s="5">
        <v>0</v>
      </c>
      <c r="BL33" s="5">
        <v>0</v>
      </c>
      <c r="BM33" s="5">
        <v>0</v>
      </c>
      <c r="BN33" s="5">
        <v>0</v>
      </c>
    </row>
    <row r="34" spans="1:66" x14ac:dyDescent="0.2">
      <c r="A34" s="1" t="s">
        <v>54</v>
      </c>
      <c r="B34" s="5">
        <v>0</v>
      </c>
      <c r="C34" s="5">
        <v>289555.12</v>
      </c>
      <c r="D34" s="5">
        <v>460395.61</v>
      </c>
      <c r="E34" s="5">
        <v>248768.06000000003</v>
      </c>
      <c r="F34" s="5">
        <v>255412.93000000002</v>
      </c>
      <c r="G34" s="5">
        <v>68748.250000000015</v>
      </c>
      <c r="H34" s="5">
        <v>0</v>
      </c>
      <c r="I34" s="5">
        <v>520200</v>
      </c>
      <c r="J34" s="5">
        <v>0</v>
      </c>
      <c r="K34" s="5">
        <v>0</v>
      </c>
      <c r="L34" s="5">
        <v>0</v>
      </c>
      <c r="M34" s="5">
        <v>0</v>
      </c>
      <c r="N34" s="5">
        <v>0</v>
      </c>
      <c r="O34" s="5"/>
      <c r="P34" s="5"/>
      <c r="Q34" s="5"/>
      <c r="R34" s="5"/>
      <c r="S34" s="5"/>
      <c r="T34" s="5"/>
      <c r="U34" s="5"/>
      <c r="V34" s="5"/>
      <c r="W34" s="5"/>
      <c r="X34" s="5"/>
      <c r="Y34" s="5"/>
      <c r="Z34" s="5"/>
      <c r="AA34" s="5"/>
      <c r="AB34" s="5"/>
      <c r="AC34" s="5"/>
      <c r="AD34" s="5"/>
      <c r="AE34" s="5"/>
      <c r="AF34" s="5"/>
      <c r="AG34" s="5"/>
      <c r="AH34" s="5"/>
      <c r="AI34" s="5"/>
      <c r="AJ34" s="5">
        <v>0</v>
      </c>
      <c r="AK34" s="5">
        <v>0</v>
      </c>
      <c r="AL34" s="5">
        <v>0</v>
      </c>
      <c r="AM34" s="5">
        <v>0</v>
      </c>
      <c r="AN34" s="5">
        <v>0</v>
      </c>
      <c r="AO34" s="5">
        <v>0</v>
      </c>
      <c r="AP34" s="5">
        <v>0</v>
      </c>
      <c r="AQ34" s="5">
        <v>97340.160000000003</v>
      </c>
      <c r="AR34" s="5">
        <v>57747.4</v>
      </c>
      <c r="AS34" s="5">
        <v>16500</v>
      </c>
      <c r="AT34" s="5">
        <v>12000</v>
      </c>
      <c r="AU34" s="5">
        <v>0</v>
      </c>
      <c r="AV34" s="5">
        <v>520200</v>
      </c>
      <c r="AW34" s="5">
        <v>0</v>
      </c>
      <c r="AX34" s="5">
        <v>0</v>
      </c>
      <c r="AY34" s="5">
        <v>0</v>
      </c>
      <c r="AZ34" s="5">
        <v>0</v>
      </c>
      <c r="BA34" s="5">
        <v>0</v>
      </c>
      <c r="BB34" s="5">
        <v>0</v>
      </c>
      <c r="BC34" s="5">
        <v>289555.12</v>
      </c>
      <c r="BD34" s="5">
        <v>363055.45</v>
      </c>
      <c r="BE34" s="5">
        <v>191020.66000000003</v>
      </c>
      <c r="BF34" s="5">
        <v>238912.93000000002</v>
      </c>
      <c r="BG34" s="5">
        <v>56748.250000000015</v>
      </c>
      <c r="BH34" s="5">
        <v>0</v>
      </c>
      <c r="BI34" s="5">
        <v>0</v>
      </c>
      <c r="BJ34" s="5">
        <v>0</v>
      </c>
      <c r="BK34" s="5">
        <v>0</v>
      </c>
      <c r="BL34" s="5">
        <v>0</v>
      </c>
      <c r="BM34" s="5">
        <v>0</v>
      </c>
      <c r="BN34" s="5">
        <v>0</v>
      </c>
    </row>
    <row r="35" spans="1:66" x14ac:dyDescent="0.2">
      <c r="A35" s="1" t="s">
        <v>71</v>
      </c>
      <c r="B35" s="5">
        <v>0</v>
      </c>
      <c r="C35" s="5">
        <v>318922</v>
      </c>
      <c r="D35" s="5">
        <v>583828.98</v>
      </c>
      <c r="E35" s="5">
        <v>753888.20000000007</v>
      </c>
      <c r="F35" s="5">
        <v>681975.69</v>
      </c>
      <c r="G35" s="5">
        <v>260577.64</v>
      </c>
      <c r="H35" s="5">
        <v>420000</v>
      </c>
      <c r="I35" s="5">
        <v>629209</v>
      </c>
      <c r="J35" s="5">
        <v>0</v>
      </c>
      <c r="K35" s="5">
        <v>0</v>
      </c>
      <c r="L35" s="5">
        <v>0</v>
      </c>
      <c r="M35" s="5">
        <v>0</v>
      </c>
      <c r="N35" s="5">
        <v>0</v>
      </c>
      <c r="O35" s="5"/>
      <c r="P35" s="5"/>
      <c r="Q35" s="5"/>
      <c r="R35" s="5"/>
      <c r="S35" s="5"/>
      <c r="T35" s="5"/>
      <c r="U35" s="5"/>
      <c r="V35" s="5"/>
      <c r="W35" s="5"/>
      <c r="X35" s="5"/>
      <c r="Y35" s="5"/>
      <c r="Z35" s="5"/>
      <c r="AA35" s="5"/>
      <c r="AB35" s="5"/>
      <c r="AC35" s="5"/>
      <c r="AD35" s="5"/>
      <c r="AE35" s="5"/>
      <c r="AF35" s="5"/>
      <c r="AG35" s="5"/>
      <c r="AH35" s="5"/>
      <c r="AI35" s="5"/>
      <c r="AJ35" s="5">
        <v>0</v>
      </c>
      <c r="AK35" s="5">
        <v>0</v>
      </c>
      <c r="AL35" s="5">
        <v>0</v>
      </c>
      <c r="AM35" s="5">
        <v>0</v>
      </c>
      <c r="AN35" s="5">
        <v>0</v>
      </c>
      <c r="AO35" s="5">
        <v>0</v>
      </c>
      <c r="AP35" s="5">
        <v>0</v>
      </c>
      <c r="AQ35" s="5">
        <v>147156.45000000001</v>
      </c>
      <c r="AR35" s="5">
        <v>189440.9</v>
      </c>
      <c r="AS35" s="5">
        <v>227837.49</v>
      </c>
      <c r="AT35" s="5">
        <v>93602.100000000035</v>
      </c>
      <c r="AU35" s="5">
        <v>142300</v>
      </c>
      <c r="AV35" s="5">
        <v>629209</v>
      </c>
      <c r="AW35" s="5">
        <v>0</v>
      </c>
      <c r="AX35" s="5">
        <v>0</v>
      </c>
      <c r="AY35" s="5">
        <v>0</v>
      </c>
      <c r="AZ35" s="5">
        <v>0</v>
      </c>
      <c r="BA35" s="5">
        <v>0</v>
      </c>
      <c r="BB35" s="5">
        <v>0</v>
      </c>
      <c r="BC35" s="5">
        <v>318922</v>
      </c>
      <c r="BD35" s="5">
        <v>436672.52999999997</v>
      </c>
      <c r="BE35" s="5">
        <v>564447.30000000005</v>
      </c>
      <c r="BF35" s="5">
        <v>454138.19999999995</v>
      </c>
      <c r="BG35" s="5">
        <v>166975.53999999998</v>
      </c>
      <c r="BH35" s="5">
        <v>277700</v>
      </c>
      <c r="BI35" s="5">
        <v>0</v>
      </c>
      <c r="BJ35" s="5">
        <v>0</v>
      </c>
      <c r="BK35" s="5">
        <v>0</v>
      </c>
      <c r="BL35" s="5">
        <v>0</v>
      </c>
      <c r="BM35" s="5">
        <v>0</v>
      </c>
      <c r="BN35" s="5">
        <v>0</v>
      </c>
    </row>
    <row r="36" spans="1:66" x14ac:dyDescent="0.2">
      <c r="A36" s="1" t="s">
        <v>72</v>
      </c>
      <c r="B36" s="5">
        <v>60462.45</v>
      </c>
      <c r="C36" s="5">
        <v>146958.21000000002</v>
      </c>
      <c r="D36" s="5">
        <v>427972.14</v>
      </c>
      <c r="E36" s="5">
        <v>672227.09999999986</v>
      </c>
      <c r="F36" s="5">
        <v>532824.5</v>
      </c>
      <c r="G36" s="5">
        <v>479099.57</v>
      </c>
      <c r="H36" s="5">
        <v>370000</v>
      </c>
      <c r="I36" s="5">
        <v>1443562</v>
      </c>
      <c r="J36" s="5">
        <v>0</v>
      </c>
      <c r="K36" s="5">
        <v>0</v>
      </c>
      <c r="L36" s="5">
        <v>0</v>
      </c>
      <c r="M36" s="5">
        <v>0</v>
      </c>
      <c r="N36" s="5">
        <v>0</v>
      </c>
      <c r="O36" s="5"/>
      <c r="P36" s="5"/>
      <c r="Q36" s="5"/>
      <c r="R36" s="5"/>
      <c r="S36" s="5"/>
      <c r="T36" s="5"/>
      <c r="U36" s="5"/>
      <c r="V36" s="5"/>
      <c r="W36" s="5"/>
      <c r="X36" s="5"/>
      <c r="Y36" s="5"/>
      <c r="Z36" s="5"/>
      <c r="AA36" s="5"/>
      <c r="AB36" s="5"/>
      <c r="AC36" s="5"/>
      <c r="AD36" s="5"/>
      <c r="AE36" s="5"/>
      <c r="AF36" s="5"/>
      <c r="AG36" s="5"/>
      <c r="AH36" s="5"/>
      <c r="AI36" s="5"/>
      <c r="AJ36" s="5">
        <v>0</v>
      </c>
      <c r="AK36" s="5">
        <v>0</v>
      </c>
      <c r="AL36" s="5">
        <v>0</v>
      </c>
      <c r="AM36" s="5">
        <v>0</v>
      </c>
      <c r="AN36" s="5">
        <v>0</v>
      </c>
      <c r="AO36" s="5">
        <v>178.57</v>
      </c>
      <c r="AP36" s="5">
        <v>155.01</v>
      </c>
      <c r="AQ36" s="5">
        <v>37720</v>
      </c>
      <c r="AR36" s="5">
        <v>43093.75</v>
      </c>
      <c r="AS36" s="5">
        <v>16855.82</v>
      </c>
      <c r="AT36" s="5">
        <v>10000</v>
      </c>
      <c r="AU36" s="5">
        <v>165000</v>
      </c>
      <c r="AV36" s="5">
        <v>1443562</v>
      </c>
      <c r="AW36" s="5">
        <v>0</v>
      </c>
      <c r="AX36" s="5">
        <v>0</v>
      </c>
      <c r="AY36" s="5">
        <v>0</v>
      </c>
      <c r="AZ36" s="5">
        <v>0</v>
      </c>
      <c r="BA36" s="5">
        <v>0</v>
      </c>
      <c r="BB36" s="5">
        <v>60283.88</v>
      </c>
      <c r="BC36" s="5">
        <v>146803.20000000001</v>
      </c>
      <c r="BD36" s="5">
        <v>390252.14</v>
      </c>
      <c r="BE36" s="5">
        <v>629133.34999999986</v>
      </c>
      <c r="BF36" s="5">
        <v>515968.68000000005</v>
      </c>
      <c r="BG36" s="5">
        <v>469099.57</v>
      </c>
      <c r="BH36" s="5">
        <v>205000</v>
      </c>
      <c r="BI36" s="5">
        <v>0</v>
      </c>
      <c r="BJ36" s="5">
        <v>0</v>
      </c>
      <c r="BK36" s="5">
        <v>0</v>
      </c>
      <c r="BL36" s="5">
        <v>0</v>
      </c>
      <c r="BM36" s="5">
        <v>0</v>
      </c>
      <c r="BN36" s="5">
        <v>0</v>
      </c>
    </row>
    <row r="37" spans="1:66" x14ac:dyDescent="0.2">
      <c r="A37" s="1" t="s">
        <v>56</v>
      </c>
      <c r="B37" s="5">
        <v>1018636.6</v>
      </c>
      <c r="C37" s="5">
        <v>665825.18000000005</v>
      </c>
      <c r="D37" s="5">
        <v>685325.77</v>
      </c>
      <c r="E37" s="5">
        <v>847194.47</v>
      </c>
      <c r="F37" s="5">
        <v>817193.39</v>
      </c>
      <c r="G37" s="5">
        <v>595521.51</v>
      </c>
      <c r="H37" s="5">
        <v>213629</v>
      </c>
      <c r="I37" s="5">
        <v>841000</v>
      </c>
      <c r="J37" s="5">
        <v>0</v>
      </c>
      <c r="K37" s="5">
        <v>0</v>
      </c>
      <c r="L37" s="5">
        <v>0</v>
      </c>
      <c r="M37" s="5">
        <v>0</v>
      </c>
      <c r="N37" s="5">
        <v>0</v>
      </c>
      <c r="O37" s="5"/>
      <c r="P37" s="5"/>
      <c r="Q37" s="5"/>
      <c r="R37" s="5"/>
      <c r="S37" s="5"/>
      <c r="T37" s="5"/>
      <c r="U37" s="5"/>
      <c r="V37" s="5"/>
      <c r="W37" s="5"/>
      <c r="X37" s="5"/>
      <c r="Y37" s="5"/>
      <c r="Z37" s="5"/>
      <c r="AA37" s="5"/>
      <c r="AB37" s="5"/>
      <c r="AC37" s="5"/>
      <c r="AD37" s="5"/>
      <c r="AE37" s="5"/>
      <c r="AF37" s="5"/>
      <c r="AG37" s="5"/>
      <c r="AH37" s="5"/>
      <c r="AI37" s="5"/>
      <c r="AJ37" s="5">
        <v>0</v>
      </c>
      <c r="AK37" s="5">
        <v>0</v>
      </c>
      <c r="AL37" s="5">
        <v>0</v>
      </c>
      <c r="AM37" s="5">
        <v>0</v>
      </c>
      <c r="AN37" s="5">
        <v>0</v>
      </c>
      <c r="AO37" s="5">
        <v>736172.25</v>
      </c>
      <c r="AP37" s="5">
        <v>167640.9</v>
      </c>
      <c r="AQ37" s="5">
        <v>295684.92</v>
      </c>
      <c r="AR37" s="5">
        <v>479000</v>
      </c>
      <c r="AS37" s="5">
        <v>558400</v>
      </c>
      <c r="AT37" s="5">
        <v>428000</v>
      </c>
      <c r="AU37" s="5">
        <v>0</v>
      </c>
      <c r="AV37" s="5">
        <v>841000</v>
      </c>
      <c r="AW37" s="5">
        <v>0</v>
      </c>
      <c r="AX37" s="5">
        <v>0</v>
      </c>
      <c r="AY37" s="5">
        <v>0</v>
      </c>
      <c r="AZ37" s="5">
        <v>0</v>
      </c>
      <c r="BA37" s="5">
        <v>0</v>
      </c>
      <c r="BB37" s="5">
        <v>282464.34999999998</v>
      </c>
      <c r="BC37" s="5">
        <v>498184.28</v>
      </c>
      <c r="BD37" s="5">
        <v>389640.85</v>
      </c>
      <c r="BE37" s="5">
        <v>368194.47</v>
      </c>
      <c r="BF37" s="5">
        <v>258793.39</v>
      </c>
      <c r="BG37" s="5">
        <v>167521.51</v>
      </c>
      <c r="BH37" s="5">
        <v>213629</v>
      </c>
      <c r="BI37" s="5">
        <v>0</v>
      </c>
      <c r="BJ37" s="5">
        <v>0</v>
      </c>
      <c r="BK37" s="5">
        <v>0</v>
      </c>
      <c r="BL37" s="5">
        <v>0</v>
      </c>
      <c r="BM37" s="5">
        <v>0</v>
      </c>
      <c r="BN37" s="5">
        <v>0</v>
      </c>
    </row>
    <row r="38" spans="1:66" x14ac:dyDescent="0.2">
      <c r="A38" s="1" t="s">
        <v>73</v>
      </c>
      <c r="B38" s="5">
        <v>121240.78</v>
      </c>
      <c r="C38" s="5">
        <v>0</v>
      </c>
      <c r="D38" s="5">
        <v>0</v>
      </c>
      <c r="E38" s="5">
        <v>0</v>
      </c>
      <c r="F38" s="5">
        <v>0</v>
      </c>
      <c r="G38" s="5">
        <v>0</v>
      </c>
      <c r="H38" s="5">
        <v>0</v>
      </c>
      <c r="I38" s="5">
        <v>0</v>
      </c>
      <c r="J38" s="5">
        <v>0</v>
      </c>
      <c r="K38" s="5">
        <v>0</v>
      </c>
      <c r="L38" s="5">
        <v>0</v>
      </c>
      <c r="M38" s="5">
        <v>0</v>
      </c>
      <c r="N38" s="5">
        <v>0</v>
      </c>
      <c r="O38" s="5"/>
      <c r="P38" s="5"/>
      <c r="Q38" s="5"/>
      <c r="R38" s="5"/>
      <c r="S38" s="5"/>
      <c r="T38" s="5"/>
      <c r="U38" s="5"/>
      <c r="V38" s="5"/>
      <c r="W38" s="5"/>
      <c r="X38" s="5"/>
      <c r="Y38" s="5"/>
      <c r="Z38" s="5"/>
      <c r="AA38" s="5"/>
      <c r="AB38" s="5"/>
      <c r="AC38" s="5"/>
      <c r="AD38" s="5"/>
      <c r="AE38" s="5"/>
      <c r="AF38" s="5"/>
      <c r="AG38" s="5"/>
      <c r="AH38" s="5"/>
      <c r="AI38" s="5"/>
      <c r="AJ38" s="5">
        <v>0</v>
      </c>
      <c r="AK38" s="5">
        <v>0</v>
      </c>
      <c r="AL38" s="5">
        <v>0</v>
      </c>
      <c r="AM38" s="5">
        <v>0</v>
      </c>
      <c r="AN38" s="5">
        <v>0</v>
      </c>
      <c r="AO38" s="5">
        <v>1540.46</v>
      </c>
      <c r="AP38" s="5">
        <v>0</v>
      </c>
      <c r="AQ38" s="5">
        <v>0</v>
      </c>
      <c r="AR38" s="5">
        <v>0</v>
      </c>
      <c r="AS38" s="5">
        <v>0</v>
      </c>
      <c r="AT38" s="5">
        <v>0</v>
      </c>
      <c r="AU38" s="5">
        <v>0</v>
      </c>
      <c r="AV38" s="5">
        <v>0</v>
      </c>
      <c r="AW38" s="5">
        <v>0</v>
      </c>
      <c r="AX38" s="5">
        <v>0</v>
      </c>
      <c r="AY38" s="5">
        <v>0</v>
      </c>
      <c r="AZ38" s="5">
        <v>0</v>
      </c>
      <c r="BA38" s="5">
        <v>0</v>
      </c>
      <c r="BB38" s="5">
        <v>119700.31999999999</v>
      </c>
      <c r="BC38" s="5">
        <v>0</v>
      </c>
      <c r="BD38" s="5">
        <v>0</v>
      </c>
      <c r="BE38" s="5">
        <v>0</v>
      </c>
      <c r="BF38" s="5">
        <v>0</v>
      </c>
      <c r="BG38" s="5">
        <v>0</v>
      </c>
      <c r="BH38" s="5">
        <v>0</v>
      </c>
      <c r="BI38" s="5">
        <v>0</v>
      </c>
      <c r="BJ38" s="5">
        <v>0</v>
      </c>
      <c r="BK38" s="5">
        <v>0</v>
      </c>
      <c r="BL38" s="5">
        <v>0</v>
      </c>
      <c r="BM38" s="5">
        <v>0</v>
      </c>
      <c r="BN38" s="5">
        <v>0</v>
      </c>
    </row>
    <row r="39" spans="1:66" x14ac:dyDescent="0.2">
      <c r="A39" s="1" t="s">
        <v>105</v>
      </c>
      <c r="B39" s="5">
        <v>1061987.6442238046</v>
      </c>
      <c r="C39" s="5">
        <v>23400.712871851167</v>
      </c>
      <c r="D39" s="5">
        <v>419088.37686219218</v>
      </c>
      <c r="E39" s="5">
        <v>192534.46407198216</v>
      </c>
      <c r="F39" s="5">
        <v>388666.26139547775</v>
      </c>
      <c r="G39" s="5">
        <v>71585.685577265031</v>
      </c>
      <c r="H39" s="5">
        <v>0</v>
      </c>
      <c r="I39" s="5">
        <v>1511680.078125</v>
      </c>
      <c r="J39" s="5">
        <v>0</v>
      </c>
      <c r="K39" s="5">
        <v>0</v>
      </c>
      <c r="L39" s="5">
        <v>0</v>
      </c>
      <c r="M39" s="5">
        <v>0</v>
      </c>
      <c r="N39" s="5">
        <v>0</v>
      </c>
      <c r="O39" s="5">
        <v>509199.69422380452</v>
      </c>
      <c r="P39" s="5">
        <v>1968.9128718511688</v>
      </c>
      <c r="Q39" s="5">
        <v>38113.646862192167</v>
      </c>
      <c r="R39" s="5">
        <v>17930.454071982156</v>
      </c>
      <c r="S39" s="5">
        <v>24692.3013954778</v>
      </c>
      <c r="T39" s="5">
        <v>4685.6855772650333</v>
      </c>
      <c r="U39" s="5">
        <v>0</v>
      </c>
      <c r="V39" s="5">
        <v>146680.078125</v>
      </c>
      <c r="W39" s="5">
        <v>0</v>
      </c>
      <c r="X39" s="5">
        <v>0</v>
      </c>
      <c r="Y39" s="5">
        <v>0</v>
      </c>
      <c r="Z39" s="5">
        <v>0</v>
      </c>
      <c r="AA39" s="5">
        <v>0</v>
      </c>
      <c r="AB39" s="5">
        <v>0</v>
      </c>
      <c r="AC39" s="5">
        <v>0</v>
      </c>
      <c r="AD39" s="5">
        <v>0</v>
      </c>
      <c r="AE39" s="5">
        <v>0</v>
      </c>
      <c r="AF39" s="5">
        <v>0</v>
      </c>
      <c r="AG39" s="5">
        <v>0</v>
      </c>
      <c r="AH39" s="5">
        <v>0</v>
      </c>
      <c r="AI39" s="5">
        <v>0</v>
      </c>
      <c r="AJ39" s="5">
        <v>0</v>
      </c>
      <c r="AK39" s="5">
        <v>0</v>
      </c>
      <c r="AL39" s="5">
        <v>0</v>
      </c>
      <c r="AM39" s="5">
        <v>0</v>
      </c>
      <c r="AN39" s="5">
        <v>0</v>
      </c>
      <c r="AO39" s="5">
        <v>31175</v>
      </c>
      <c r="AP39" s="5">
        <v>6600</v>
      </c>
      <c r="AQ39" s="5">
        <v>229938.47999999998</v>
      </c>
      <c r="AR39" s="5">
        <v>81964.53</v>
      </c>
      <c r="AS39" s="5">
        <v>284763.48</v>
      </c>
      <c r="AT39" s="5">
        <v>0</v>
      </c>
      <c r="AU39" s="5">
        <v>0</v>
      </c>
      <c r="AV39" s="5">
        <v>1365000</v>
      </c>
      <c r="AW39" s="5">
        <v>0</v>
      </c>
      <c r="AX39" s="5">
        <v>0</v>
      </c>
      <c r="AY39" s="5">
        <v>0</v>
      </c>
      <c r="AZ39" s="5">
        <v>0</v>
      </c>
      <c r="BA39" s="5">
        <v>0</v>
      </c>
      <c r="BB39" s="5">
        <v>521612.94999999995</v>
      </c>
      <c r="BC39" s="5">
        <v>14831.8</v>
      </c>
      <c r="BD39" s="5">
        <v>151036.25</v>
      </c>
      <c r="BE39" s="5">
        <v>92639.48</v>
      </c>
      <c r="BF39" s="5">
        <v>79210.48</v>
      </c>
      <c r="BG39" s="5">
        <v>66900</v>
      </c>
      <c r="BH39" s="5">
        <v>0</v>
      </c>
      <c r="BI39" s="5"/>
      <c r="BJ39" s="5">
        <v>0</v>
      </c>
      <c r="BK39" s="5">
        <v>0</v>
      </c>
      <c r="BL39" s="5">
        <v>0</v>
      </c>
      <c r="BM39" s="5">
        <v>0</v>
      </c>
      <c r="BN39" s="5">
        <v>0</v>
      </c>
    </row>
    <row r="40" spans="1:66" x14ac:dyDescent="0.2">
      <c r="A40" s="1" t="s">
        <v>75</v>
      </c>
      <c r="B40" s="5">
        <v>552787.94999999995</v>
      </c>
      <c r="C40" s="5">
        <v>0</v>
      </c>
      <c r="D40" s="5">
        <v>0</v>
      </c>
      <c r="E40" s="5">
        <v>0</v>
      </c>
      <c r="F40" s="5">
        <v>0</v>
      </c>
      <c r="G40" s="5">
        <v>0</v>
      </c>
      <c r="H40" s="5">
        <v>0</v>
      </c>
      <c r="I40" s="5">
        <v>0</v>
      </c>
      <c r="J40" s="5">
        <v>0</v>
      </c>
      <c r="K40" s="5">
        <v>0</v>
      </c>
      <c r="L40" s="5">
        <v>0</v>
      </c>
      <c r="M40" s="5">
        <v>0</v>
      </c>
      <c r="N40" s="5">
        <v>0</v>
      </c>
      <c r="O40" s="5"/>
      <c r="P40" s="5"/>
      <c r="Q40" s="5"/>
      <c r="R40" s="5"/>
      <c r="S40" s="5"/>
      <c r="T40" s="5"/>
      <c r="U40" s="5"/>
      <c r="V40" s="5"/>
      <c r="W40" s="5"/>
      <c r="X40" s="5"/>
      <c r="Y40" s="5"/>
      <c r="Z40" s="5"/>
      <c r="AA40" s="5"/>
      <c r="AB40" s="5"/>
      <c r="AC40" s="5"/>
      <c r="AD40" s="5"/>
      <c r="AE40" s="5"/>
      <c r="AF40" s="5"/>
      <c r="AG40" s="5"/>
      <c r="AH40" s="5"/>
      <c r="AI40" s="5"/>
      <c r="AJ40" s="5">
        <v>0</v>
      </c>
      <c r="AK40" s="5">
        <v>0</v>
      </c>
      <c r="AL40" s="5">
        <v>0</v>
      </c>
      <c r="AM40" s="5">
        <v>0</v>
      </c>
      <c r="AN40" s="5">
        <v>0</v>
      </c>
      <c r="AO40" s="5">
        <v>31175</v>
      </c>
      <c r="AP40" s="5">
        <v>0</v>
      </c>
      <c r="AQ40" s="5">
        <v>0</v>
      </c>
      <c r="AR40" s="5">
        <v>0</v>
      </c>
      <c r="AS40" s="5">
        <v>0</v>
      </c>
      <c r="AT40" s="5">
        <v>0</v>
      </c>
      <c r="AU40" s="5">
        <v>0</v>
      </c>
      <c r="AV40" s="5">
        <v>0</v>
      </c>
      <c r="AW40" s="5">
        <v>0</v>
      </c>
      <c r="AX40" s="5">
        <v>0</v>
      </c>
      <c r="AY40" s="5">
        <v>0</v>
      </c>
      <c r="AZ40" s="5">
        <v>0</v>
      </c>
      <c r="BA40" s="5">
        <v>0</v>
      </c>
      <c r="BB40" s="5">
        <v>521612.94999999995</v>
      </c>
      <c r="BC40" s="5">
        <v>0</v>
      </c>
      <c r="BD40" s="5">
        <v>0</v>
      </c>
      <c r="BE40" s="5">
        <v>0</v>
      </c>
      <c r="BF40" s="5">
        <v>0</v>
      </c>
      <c r="BG40" s="5">
        <v>0</v>
      </c>
      <c r="BH40" s="5">
        <v>0</v>
      </c>
      <c r="BI40" s="5">
        <v>0</v>
      </c>
      <c r="BJ40" s="5">
        <v>0</v>
      </c>
      <c r="BK40" s="5">
        <v>0</v>
      </c>
      <c r="BL40" s="5">
        <v>0</v>
      </c>
      <c r="BM40" s="5">
        <v>0</v>
      </c>
      <c r="BN40" s="5">
        <v>0</v>
      </c>
    </row>
    <row r="41" spans="1:66" x14ac:dyDescent="0.2">
      <c r="A41" s="1" t="s">
        <v>76</v>
      </c>
      <c r="B41" s="5">
        <v>0</v>
      </c>
      <c r="C41" s="5">
        <v>7800</v>
      </c>
      <c r="D41" s="5">
        <v>168790</v>
      </c>
      <c r="E41" s="5">
        <v>0</v>
      </c>
      <c r="F41" s="5">
        <v>36075</v>
      </c>
      <c r="G41" s="5">
        <v>0</v>
      </c>
      <c r="H41" s="5">
        <v>0</v>
      </c>
      <c r="I41" s="5">
        <v>917000</v>
      </c>
      <c r="J41" s="5">
        <v>0</v>
      </c>
      <c r="K41" s="5">
        <v>0</v>
      </c>
      <c r="L41" s="5">
        <v>0</v>
      </c>
      <c r="M41" s="5">
        <v>0</v>
      </c>
      <c r="N41" s="5">
        <v>0</v>
      </c>
      <c r="O41" s="5"/>
      <c r="P41" s="5"/>
      <c r="Q41" s="5"/>
      <c r="R41" s="5"/>
      <c r="S41" s="5"/>
      <c r="T41" s="5"/>
      <c r="U41" s="5"/>
      <c r="V41" s="5"/>
      <c r="W41" s="5"/>
      <c r="X41" s="5"/>
      <c r="Y41" s="5"/>
      <c r="Z41" s="5"/>
      <c r="AA41" s="5"/>
      <c r="AB41" s="5"/>
      <c r="AC41" s="5"/>
      <c r="AD41" s="5"/>
      <c r="AE41" s="5"/>
      <c r="AF41" s="5"/>
      <c r="AG41" s="5"/>
      <c r="AH41" s="5"/>
      <c r="AI41" s="5"/>
      <c r="AJ41" s="5">
        <v>0</v>
      </c>
      <c r="AK41" s="5">
        <v>0</v>
      </c>
      <c r="AL41" s="5">
        <v>0</v>
      </c>
      <c r="AM41" s="5">
        <v>0</v>
      </c>
      <c r="AN41" s="5">
        <v>0</v>
      </c>
      <c r="AO41" s="5">
        <v>0</v>
      </c>
      <c r="AP41" s="5">
        <v>6600</v>
      </c>
      <c r="AQ41" s="5">
        <v>127600</v>
      </c>
      <c r="AR41" s="5">
        <v>0</v>
      </c>
      <c r="AS41" s="5">
        <v>30525</v>
      </c>
      <c r="AT41" s="5">
        <v>0</v>
      </c>
      <c r="AU41" s="5">
        <v>0</v>
      </c>
      <c r="AV41" s="5">
        <v>917000</v>
      </c>
      <c r="AW41" s="5">
        <v>0</v>
      </c>
      <c r="AX41" s="5">
        <v>0</v>
      </c>
      <c r="AY41" s="5">
        <v>0</v>
      </c>
      <c r="AZ41" s="5">
        <v>0</v>
      </c>
      <c r="BA41" s="5">
        <v>0</v>
      </c>
      <c r="BB41" s="5">
        <v>0</v>
      </c>
      <c r="BC41" s="5">
        <v>1200</v>
      </c>
      <c r="BD41" s="5">
        <v>41190</v>
      </c>
      <c r="BE41" s="5">
        <v>0</v>
      </c>
      <c r="BF41" s="5">
        <v>5550</v>
      </c>
      <c r="BG41" s="5">
        <v>0</v>
      </c>
      <c r="BH41" s="5">
        <v>0</v>
      </c>
      <c r="BI41" s="5">
        <v>0</v>
      </c>
      <c r="BJ41" s="5">
        <v>0</v>
      </c>
      <c r="BK41" s="5">
        <v>0</v>
      </c>
      <c r="BL41" s="5">
        <v>0</v>
      </c>
      <c r="BM41" s="5">
        <v>0</v>
      </c>
      <c r="BN41" s="5">
        <v>0</v>
      </c>
    </row>
    <row r="42" spans="1:66" x14ac:dyDescent="0.2">
      <c r="A42" s="1" t="s">
        <v>77</v>
      </c>
      <c r="B42" s="5">
        <v>0</v>
      </c>
      <c r="C42" s="5">
        <v>13631.8</v>
      </c>
      <c r="D42" s="5">
        <v>212184.72999999998</v>
      </c>
      <c r="E42" s="5">
        <v>174604.01</v>
      </c>
      <c r="F42" s="5">
        <v>327898.96000000002</v>
      </c>
      <c r="G42" s="5">
        <v>66900</v>
      </c>
      <c r="H42" s="5">
        <v>0</v>
      </c>
      <c r="I42" s="5">
        <v>448000</v>
      </c>
      <c r="J42" s="5">
        <v>0</v>
      </c>
      <c r="K42" s="5">
        <v>0</v>
      </c>
      <c r="L42" s="5">
        <v>0</v>
      </c>
      <c r="M42" s="5">
        <v>0</v>
      </c>
      <c r="N42" s="5">
        <v>0</v>
      </c>
      <c r="O42" s="5"/>
      <c r="P42" s="5"/>
      <c r="Q42" s="5"/>
      <c r="R42" s="5"/>
      <c r="S42" s="5"/>
      <c r="T42" s="5"/>
      <c r="U42" s="5"/>
      <c r="V42" s="5"/>
      <c r="W42" s="5"/>
      <c r="X42" s="5"/>
      <c r="Y42" s="5"/>
      <c r="Z42" s="5"/>
      <c r="AA42" s="5"/>
      <c r="AB42" s="5"/>
      <c r="AC42" s="5"/>
      <c r="AD42" s="5"/>
      <c r="AE42" s="5"/>
      <c r="AF42" s="5"/>
      <c r="AG42" s="5"/>
      <c r="AH42" s="5"/>
      <c r="AI42" s="5"/>
      <c r="AJ42" s="5">
        <v>0</v>
      </c>
      <c r="AK42" s="5">
        <v>0</v>
      </c>
      <c r="AL42" s="5">
        <v>0</v>
      </c>
      <c r="AM42" s="5">
        <v>0</v>
      </c>
      <c r="AN42" s="5">
        <v>0</v>
      </c>
      <c r="AO42" s="5">
        <v>0</v>
      </c>
      <c r="AP42" s="5">
        <v>0</v>
      </c>
      <c r="AQ42" s="5">
        <v>102338.48</v>
      </c>
      <c r="AR42" s="5">
        <v>81964.53</v>
      </c>
      <c r="AS42" s="5">
        <v>254238.48</v>
      </c>
      <c r="AT42" s="5">
        <v>0</v>
      </c>
      <c r="AU42" s="5">
        <v>0</v>
      </c>
      <c r="AV42" s="5">
        <v>448000</v>
      </c>
      <c r="AW42" s="5">
        <v>0</v>
      </c>
      <c r="AX42" s="5">
        <v>0</v>
      </c>
      <c r="AY42" s="5">
        <v>0</v>
      </c>
      <c r="AZ42" s="5">
        <v>0</v>
      </c>
      <c r="BA42" s="5">
        <v>0</v>
      </c>
      <c r="BB42" s="5">
        <v>0</v>
      </c>
      <c r="BC42" s="5">
        <v>13631.8</v>
      </c>
      <c r="BD42" s="5">
        <v>109846.25</v>
      </c>
      <c r="BE42" s="5">
        <v>92639.48</v>
      </c>
      <c r="BF42" s="5">
        <v>73660.479999999996</v>
      </c>
      <c r="BG42" s="5">
        <v>66900</v>
      </c>
      <c r="BH42" s="5">
        <v>0</v>
      </c>
      <c r="BI42" s="5">
        <v>0</v>
      </c>
      <c r="BJ42" s="5">
        <v>0</v>
      </c>
      <c r="BK42" s="5">
        <v>0</v>
      </c>
      <c r="BL42" s="5">
        <v>0</v>
      </c>
      <c r="BM42" s="5">
        <v>0</v>
      </c>
      <c r="BN42" s="5">
        <v>0</v>
      </c>
    </row>
    <row r="43" spans="1:66" x14ac:dyDescent="0.2">
      <c r="A43" s="1" t="s">
        <v>78</v>
      </c>
      <c r="B43" s="5">
        <v>0</v>
      </c>
      <c r="C43" s="5">
        <v>0</v>
      </c>
      <c r="D43" s="5">
        <v>0</v>
      </c>
      <c r="E43" s="5">
        <v>0</v>
      </c>
      <c r="F43" s="5">
        <v>0</v>
      </c>
      <c r="G43" s="5">
        <v>0</v>
      </c>
      <c r="H43" s="5">
        <v>0</v>
      </c>
      <c r="I43" s="5">
        <v>0</v>
      </c>
      <c r="J43" s="5">
        <v>0</v>
      </c>
      <c r="K43" s="5">
        <v>0</v>
      </c>
      <c r="L43" s="5">
        <v>0</v>
      </c>
      <c r="M43" s="5">
        <v>0</v>
      </c>
      <c r="N43" s="5">
        <v>0</v>
      </c>
      <c r="O43" s="5"/>
      <c r="P43" s="5"/>
      <c r="Q43" s="5"/>
      <c r="R43" s="5"/>
      <c r="S43" s="5"/>
      <c r="T43" s="5"/>
      <c r="U43" s="5"/>
      <c r="V43" s="5"/>
      <c r="W43" s="5"/>
      <c r="X43" s="5"/>
      <c r="Y43" s="5"/>
      <c r="Z43" s="5"/>
      <c r="AA43" s="5"/>
      <c r="AB43" s="5"/>
      <c r="AC43" s="5"/>
      <c r="AD43" s="5"/>
      <c r="AE43" s="5"/>
      <c r="AF43" s="5"/>
      <c r="AG43" s="5"/>
      <c r="AH43" s="5"/>
      <c r="AI43" s="5"/>
      <c r="AJ43" s="5">
        <v>0</v>
      </c>
      <c r="AK43" s="5">
        <v>0</v>
      </c>
      <c r="AL43" s="5">
        <v>0</v>
      </c>
      <c r="AM43" s="5">
        <v>0</v>
      </c>
      <c r="AN43" s="5">
        <v>0</v>
      </c>
      <c r="AO43" s="5">
        <v>0</v>
      </c>
      <c r="AP43" s="5">
        <v>0</v>
      </c>
      <c r="AQ43" s="5">
        <v>0</v>
      </c>
      <c r="AR43" s="5">
        <v>0</v>
      </c>
      <c r="AS43" s="5">
        <v>0</v>
      </c>
      <c r="AT43" s="5">
        <v>0</v>
      </c>
      <c r="AU43" s="5">
        <v>0</v>
      </c>
      <c r="AV43" s="5">
        <v>0</v>
      </c>
      <c r="AW43" s="5">
        <v>0</v>
      </c>
      <c r="AX43" s="5">
        <v>0</v>
      </c>
      <c r="AY43" s="5">
        <v>0</v>
      </c>
      <c r="AZ43" s="5">
        <v>0</v>
      </c>
      <c r="BA43" s="5">
        <v>0</v>
      </c>
      <c r="BB43" s="5">
        <v>0</v>
      </c>
      <c r="BC43" s="5">
        <v>0</v>
      </c>
      <c r="BD43" s="5">
        <v>0</v>
      </c>
      <c r="BE43" s="5">
        <v>0</v>
      </c>
      <c r="BF43" s="5">
        <v>0</v>
      </c>
      <c r="BG43" s="5">
        <v>0</v>
      </c>
      <c r="BH43" s="5">
        <v>0</v>
      </c>
      <c r="BI43" s="5">
        <v>0</v>
      </c>
      <c r="BJ43" s="5">
        <v>0</v>
      </c>
      <c r="BK43" s="5">
        <v>0</v>
      </c>
      <c r="BL43" s="5">
        <v>0</v>
      </c>
      <c r="BM43" s="5">
        <v>0</v>
      </c>
      <c r="BN43" s="5">
        <v>0</v>
      </c>
    </row>
    <row r="44" spans="1:66" x14ac:dyDescent="0.2">
      <c r="A44" s="1" t="s">
        <v>106</v>
      </c>
      <c r="B44" s="5">
        <v>64045136.619999997</v>
      </c>
      <c r="C44" s="5">
        <v>94902470.722238272</v>
      </c>
      <c r="D44" s="5">
        <v>115584485.16227506</v>
      </c>
      <c r="E44" s="5">
        <v>121951961.12999998</v>
      </c>
      <c r="F44" s="5">
        <v>127401082.09000002</v>
      </c>
      <c r="G44" s="5">
        <v>111464041.77000001</v>
      </c>
      <c r="H44" s="5">
        <v>126190374.19499999</v>
      </c>
      <c r="I44" s="5">
        <v>122701197.99999999</v>
      </c>
      <c r="J44" s="5">
        <v>123899999.98999999</v>
      </c>
      <c r="K44" s="5">
        <v>130095000.00999999</v>
      </c>
      <c r="L44" s="5">
        <v>136599750</v>
      </c>
      <c r="M44" s="5">
        <v>143429738.00000006</v>
      </c>
      <c r="N44" s="5">
        <v>150601225.00000003</v>
      </c>
      <c r="O44" s="5">
        <v>13876294.259999996</v>
      </c>
      <c r="P44" s="5">
        <v>13126570.487724999</v>
      </c>
      <c r="Q44" s="5">
        <v>14410284.982275041</v>
      </c>
      <c r="R44" s="5">
        <v>14605480.679999994</v>
      </c>
      <c r="S44" s="5">
        <v>13398932.519999998</v>
      </c>
      <c r="T44" s="5">
        <v>13168353.249999998</v>
      </c>
      <c r="U44" s="5">
        <v>14188025.620000001</v>
      </c>
      <c r="V44" s="5">
        <v>16271541</v>
      </c>
      <c r="W44" s="5">
        <v>11800619.999030504</v>
      </c>
      <c r="X44" s="5">
        <v>11979495.403313197</v>
      </c>
      <c r="Y44" s="5">
        <v>12219085.311379461</v>
      </c>
      <c r="Z44" s="5">
        <v>12463467.017607048</v>
      </c>
      <c r="AA44" s="5">
        <v>12712736.35795919</v>
      </c>
      <c r="AB44" s="5">
        <v>0</v>
      </c>
      <c r="AC44" s="5">
        <v>0</v>
      </c>
      <c r="AD44" s="5">
        <v>0</v>
      </c>
      <c r="AE44" s="5">
        <v>0</v>
      </c>
      <c r="AF44" s="5">
        <v>0</v>
      </c>
      <c r="AG44" s="5">
        <v>0</v>
      </c>
      <c r="AH44" s="5">
        <v>0</v>
      </c>
      <c r="AI44" s="5">
        <v>0</v>
      </c>
      <c r="AJ44" s="5">
        <v>12652224.116196569</v>
      </c>
      <c r="AK44" s="5">
        <v>13274010.598520502</v>
      </c>
      <c r="AL44" s="5">
        <v>14576408.731458377</v>
      </c>
      <c r="AM44" s="5">
        <v>15956700.858789958</v>
      </c>
      <c r="AN44" s="5">
        <v>17419036.917373557</v>
      </c>
      <c r="AO44" s="5">
        <v>40766575.560000002</v>
      </c>
      <c r="AP44" s="5">
        <v>68793007.204513282</v>
      </c>
      <c r="AQ44" s="5">
        <v>80083005.340000004</v>
      </c>
      <c r="AR44" s="5">
        <v>89159798.109999999</v>
      </c>
      <c r="AS44" s="5">
        <v>98010355.920000002</v>
      </c>
      <c r="AT44" s="5">
        <v>85216600.469999999</v>
      </c>
      <c r="AU44" s="5">
        <v>95532474.734999999</v>
      </c>
      <c r="AV44" s="5">
        <v>106429657</v>
      </c>
      <c r="AW44" s="5">
        <v>89415951.191906959</v>
      </c>
      <c r="AX44" s="5">
        <v>94494008.663643017</v>
      </c>
      <c r="AY44" s="5">
        <v>98823997.880972281</v>
      </c>
      <c r="AZ44" s="5">
        <v>103362592.65415305</v>
      </c>
      <c r="BA44" s="5">
        <v>108120064.8072385</v>
      </c>
      <c r="BB44" s="5">
        <v>9402266.7999999989</v>
      </c>
      <c r="BC44" s="5">
        <v>12982893.030000001</v>
      </c>
      <c r="BD44" s="5">
        <v>21091194.84</v>
      </c>
      <c r="BE44" s="5">
        <v>18186682.340000007</v>
      </c>
      <c r="BF44" s="5">
        <v>15991793.649999999</v>
      </c>
      <c r="BG44" s="5">
        <v>13079088.050000001</v>
      </c>
      <c r="BH44" s="5">
        <v>16469873.84</v>
      </c>
      <c r="BI44" s="5"/>
      <c r="BJ44" s="5">
        <v>10031204.682865961</v>
      </c>
      <c r="BK44" s="5">
        <v>10347485.344523281</v>
      </c>
      <c r="BL44" s="5">
        <v>10980258.076189887</v>
      </c>
      <c r="BM44" s="5">
        <v>11646977.46944998</v>
      </c>
      <c r="BN44" s="5">
        <v>12349386.917428769</v>
      </c>
    </row>
    <row r="45" spans="1:66" x14ac:dyDescent="0.2">
      <c r="A45" s="1" t="s">
        <v>107</v>
      </c>
      <c r="B45" s="5">
        <v>2189939.7400000002</v>
      </c>
      <c r="C45" s="5">
        <v>7327412.7000000002</v>
      </c>
      <c r="D45" s="5">
        <v>5477139.54</v>
      </c>
      <c r="E45" s="5">
        <v>6393819.8600000003</v>
      </c>
      <c r="F45" s="5">
        <v>3883607.0500000003</v>
      </c>
      <c r="G45" s="5">
        <v>3374634.3099999996</v>
      </c>
      <c r="H45" s="5">
        <v>3951717.53</v>
      </c>
      <c r="I45" s="5">
        <v>3842000</v>
      </c>
      <c r="J45" s="5">
        <v>11252521.998982841</v>
      </c>
      <c r="K45" s="5">
        <v>11477572.002562497</v>
      </c>
      <c r="L45" s="5">
        <v>11707123.442613747</v>
      </c>
      <c r="M45" s="5">
        <v>11941265.911466023</v>
      </c>
      <c r="N45" s="5">
        <v>12180092.229695344</v>
      </c>
      <c r="O45" s="5">
        <v>2189939.7400000002</v>
      </c>
      <c r="P45" s="5">
        <v>7327412.7000000002</v>
      </c>
      <c r="Q45" s="5">
        <v>5477139.54</v>
      </c>
      <c r="R45" s="5">
        <v>6393819.8600000003</v>
      </c>
      <c r="S45" s="5">
        <v>3883607.0500000003</v>
      </c>
      <c r="T45" s="5">
        <v>3374634.3099999996</v>
      </c>
      <c r="U45" s="5">
        <v>3951717.53</v>
      </c>
      <c r="V45" s="5">
        <v>3842000</v>
      </c>
      <c r="W45" s="5">
        <v>11252521.998982841</v>
      </c>
      <c r="X45" s="5">
        <v>11477572.002562497</v>
      </c>
      <c r="Y45" s="5">
        <v>11707123.442613747</v>
      </c>
      <c r="Z45" s="5">
        <v>11941265.911466023</v>
      </c>
      <c r="AA45" s="5">
        <v>12180092.229695344</v>
      </c>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row>
    <row r="46" spans="1:66" x14ac:dyDescent="0.2">
      <c r="A46" s="1" t="s">
        <v>108</v>
      </c>
      <c r="B46" s="5">
        <v>2189939.7400000002</v>
      </c>
      <c r="C46" s="5">
        <v>2364580.04</v>
      </c>
      <c r="D46" s="5">
        <v>2911323.75</v>
      </c>
      <c r="E46" s="5">
        <v>3858509.8000000003</v>
      </c>
      <c r="F46" s="5">
        <v>3541361.64</v>
      </c>
      <c r="G46" s="5">
        <v>3374634.3099999996</v>
      </c>
      <c r="H46" s="5">
        <v>3951717.53</v>
      </c>
      <c r="I46" s="5">
        <v>2842000</v>
      </c>
      <c r="J46" s="5">
        <v>8569921.678982839</v>
      </c>
      <c r="K46" s="5">
        <v>8741320.1125624962</v>
      </c>
      <c r="L46" s="5">
        <v>8916146.5148137454</v>
      </c>
      <c r="M46" s="5">
        <v>9094469.4451100212</v>
      </c>
      <c r="N46" s="5">
        <v>9276359.8340122215</v>
      </c>
      <c r="O46" s="5">
        <v>2189939.7400000002</v>
      </c>
      <c r="P46" s="5">
        <v>2364580.04</v>
      </c>
      <c r="Q46" s="5">
        <v>2911323.75</v>
      </c>
      <c r="R46" s="5">
        <v>3858509.8000000003</v>
      </c>
      <c r="S46" s="5">
        <v>3541361.64</v>
      </c>
      <c r="T46" s="5">
        <v>3374634.3099999996</v>
      </c>
      <c r="U46" s="5">
        <v>3951717.53</v>
      </c>
      <c r="V46" s="5">
        <v>2842000</v>
      </c>
      <c r="W46" s="5">
        <v>8569921.678982839</v>
      </c>
      <c r="X46" s="5">
        <v>8741320.1125624962</v>
      </c>
      <c r="Y46" s="5">
        <v>8916146.5148137454</v>
      </c>
      <c r="Z46" s="5">
        <v>9094469.4451100212</v>
      </c>
      <c r="AA46" s="5">
        <v>9276359.8340122215</v>
      </c>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row>
    <row r="47" spans="1:66" x14ac:dyDescent="0.2">
      <c r="A47" s="1" t="s">
        <v>109</v>
      </c>
      <c r="B47" s="5">
        <v>0</v>
      </c>
      <c r="C47" s="5">
        <v>4962832.66</v>
      </c>
      <c r="D47" s="5">
        <v>2565815.79</v>
      </c>
      <c r="E47" s="5">
        <v>2535310.06</v>
      </c>
      <c r="F47" s="5">
        <v>342245.41000000003</v>
      </c>
      <c r="G47" s="5">
        <v>0</v>
      </c>
      <c r="H47" s="5">
        <v>0</v>
      </c>
      <c r="I47" s="5">
        <v>1000000</v>
      </c>
      <c r="J47" s="5">
        <v>1020000</v>
      </c>
      <c r="K47" s="5">
        <v>1040400</v>
      </c>
      <c r="L47" s="5">
        <v>1061208</v>
      </c>
      <c r="M47" s="5">
        <v>1082432.1599999999</v>
      </c>
      <c r="N47" s="5">
        <v>1104080.8032</v>
      </c>
      <c r="O47" s="5">
        <v>0</v>
      </c>
      <c r="P47" s="5">
        <v>4962832.66</v>
      </c>
      <c r="Q47" s="5">
        <v>2565815.79</v>
      </c>
      <c r="R47" s="5">
        <v>2535310.06</v>
      </c>
      <c r="S47" s="5">
        <v>342245.41000000003</v>
      </c>
      <c r="T47" s="5">
        <v>0</v>
      </c>
      <c r="U47" s="5">
        <v>0</v>
      </c>
      <c r="V47" s="5">
        <v>1000000</v>
      </c>
      <c r="W47" s="5">
        <v>1020000</v>
      </c>
      <c r="X47" s="5">
        <v>1040400</v>
      </c>
      <c r="Y47" s="5">
        <v>1061208</v>
      </c>
      <c r="Z47" s="5">
        <v>1082432.1599999999</v>
      </c>
      <c r="AA47" s="5">
        <v>1104080.8032</v>
      </c>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row>
    <row r="48" spans="1:66" x14ac:dyDescent="0.2">
      <c r="A48" s="1" t="s">
        <v>110</v>
      </c>
      <c r="B48" s="5">
        <v>0</v>
      </c>
      <c r="C48" s="5">
        <v>0</v>
      </c>
      <c r="D48" s="5">
        <v>0</v>
      </c>
      <c r="E48" s="5">
        <v>0</v>
      </c>
      <c r="F48" s="5">
        <v>0</v>
      </c>
      <c r="G48" s="5">
        <v>0</v>
      </c>
      <c r="H48" s="5">
        <v>0</v>
      </c>
      <c r="I48" s="5">
        <v>0</v>
      </c>
      <c r="J48" s="5">
        <v>1662600</v>
      </c>
      <c r="K48" s="5">
        <v>1695852</v>
      </c>
      <c r="L48" s="5">
        <v>1729769.04</v>
      </c>
      <c r="M48" s="5">
        <v>1764364.4208</v>
      </c>
      <c r="N48" s="5">
        <v>1799651.709216</v>
      </c>
      <c r="O48" s="5">
        <v>0</v>
      </c>
      <c r="P48" s="5">
        <v>0</v>
      </c>
      <c r="Q48" s="5">
        <v>0</v>
      </c>
      <c r="R48" s="5">
        <v>0</v>
      </c>
      <c r="S48" s="5">
        <v>0</v>
      </c>
      <c r="T48" s="5">
        <v>0</v>
      </c>
      <c r="U48" s="5">
        <v>0</v>
      </c>
      <c r="V48" s="5">
        <v>0</v>
      </c>
      <c r="W48" s="5">
        <v>1662600</v>
      </c>
      <c r="X48" s="5">
        <v>1695852</v>
      </c>
      <c r="Y48" s="5">
        <v>1729769.04</v>
      </c>
      <c r="Z48" s="5">
        <v>1764364.4208</v>
      </c>
      <c r="AA48" s="5">
        <v>1799651.709216</v>
      </c>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row>
    <row r="49" spans="1:66" x14ac:dyDescent="0.2">
      <c r="A49" s="1" t="s">
        <v>111</v>
      </c>
      <c r="B49" s="5">
        <v>1341531.51</v>
      </c>
      <c r="C49" s="5">
        <v>2825581.2722749999</v>
      </c>
      <c r="D49" s="5">
        <v>4231598.5977250002</v>
      </c>
      <c r="E49" s="5">
        <v>3991925.82</v>
      </c>
      <c r="F49" s="5">
        <v>4456427.4800000004</v>
      </c>
      <c r="G49" s="5">
        <v>2020398.05</v>
      </c>
      <c r="H49" s="5">
        <v>2474316.42</v>
      </c>
      <c r="I49" s="5">
        <v>4520056</v>
      </c>
      <c r="J49" s="5">
        <v>3876000</v>
      </c>
      <c r="K49" s="5">
        <v>3953520</v>
      </c>
      <c r="L49" s="5">
        <v>4032590.4</v>
      </c>
      <c r="M49" s="5">
        <v>4113242.2080000001</v>
      </c>
      <c r="N49" s="5">
        <v>4195507.0521600004</v>
      </c>
      <c r="O49" s="5">
        <v>1341531.51</v>
      </c>
      <c r="P49" s="5">
        <v>2825581.2722749999</v>
      </c>
      <c r="Q49" s="5">
        <v>4231598.5977250002</v>
      </c>
      <c r="R49" s="5">
        <v>3991925.82</v>
      </c>
      <c r="S49" s="5">
        <v>4456427.4800000004</v>
      </c>
      <c r="T49" s="5">
        <v>2020398.05</v>
      </c>
      <c r="U49" s="5">
        <v>2474316.42</v>
      </c>
      <c r="V49" s="5">
        <v>4520056</v>
      </c>
      <c r="W49" s="5">
        <v>3876000</v>
      </c>
      <c r="X49" s="5">
        <v>3953520</v>
      </c>
      <c r="Y49" s="5">
        <v>4032590.4</v>
      </c>
      <c r="Z49" s="5">
        <v>4113242.2080000001</v>
      </c>
      <c r="AA49" s="5">
        <v>4195507.0521600004</v>
      </c>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row>
    <row r="50" spans="1:66" x14ac:dyDescent="0.2">
      <c r="A50" s="1" t="s">
        <v>112</v>
      </c>
      <c r="B50" s="5">
        <v>1341531.51</v>
      </c>
      <c r="C50" s="5">
        <v>2825581.2722749999</v>
      </c>
      <c r="D50" s="5">
        <v>4231598.5977250002</v>
      </c>
      <c r="E50" s="5">
        <v>3991925.82</v>
      </c>
      <c r="F50" s="5">
        <v>4456427.4800000004</v>
      </c>
      <c r="G50" s="5">
        <v>2020398.05</v>
      </c>
      <c r="H50" s="5">
        <v>2474316.42</v>
      </c>
      <c r="I50" s="5">
        <v>4520056</v>
      </c>
      <c r="J50" s="5">
        <v>2652000</v>
      </c>
      <c r="K50" s="5">
        <v>2705040</v>
      </c>
      <c r="L50" s="5">
        <v>2759140.8000000003</v>
      </c>
      <c r="M50" s="5">
        <v>2814323.6160000004</v>
      </c>
      <c r="N50" s="5">
        <v>2870610.0883200006</v>
      </c>
      <c r="O50" s="5">
        <v>1341531.51</v>
      </c>
      <c r="P50" s="5">
        <v>2825581.2722749999</v>
      </c>
      <c r="Q50" s="5">
        <v>4231598.5977250002</v>
      </c>
      <c r="R50" s="5">
        <v>3991925.82</v>
      </c>
      <c r="S50" s="5">
        <v>4456427.4800000004</v>
      </c>
      <c r="T50" s="5">
        <v>2020398.05</v>
      </c>
      <c r="U50" s="5">
        <v>2474316.42</v>
      </c>
      <c r="V50" s="5">
        <v>4520056</v>
      </c>
      <c r="W50" s="5">
        <v>2652000</v>
      </c>
      <c r="X50" s="5">
        <v>2705040</v>
      </c>
      <c r="Y50" s="5">
        <v>2759140.8000000003</v>
      </c>
      <c r="Z50" s="5">
        <v>2814323.6160000004</v>
      </c>
      <c r="AA50" s="5">
        <v>2870610.0883200006</v>
      </c>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row>
    <row r="51" spans="1:66" x14ac:dyDescent="0.2">
      <c r="A51" s="1" t="s">
        <v>113</v>
      </c>
      <c r="B51" s="5">
        <v>0</v>
      </c>
      <c r="C51" s="5">
        <v>0</v>
      </c>
      <c r="D51" s="5">
        <v>0</v>
      </c>
      <c r="E51" s="5">
        <v>0</v>
      </c>
      <c r="F51" s="5">
        <v>0</v>
      </c>
      <c r="G51" s="5">
        <v>0</v>
      </c>
      <c r="H51" s="5">
        <v>0</v>
      </c>
      <c r="I51" s="5">
        <v>0</v>
      </c>
      <c r="J51" s="5">
        <v>714000</v>
      </c>
      <c r="K51" s="5">
        <v>728280</v>
      </c>
      <c r="L51" s="5">
        <v>742845.6</v>
      </c>
      <c r="M51" s="5">
        <v>757702.51199999999</v>
      </c>
      <c r="N51" s="5">
        <v>772856.56224</v>
      </c>
      <c r="O51" s="5">
        <v>0</v>
      </c>
      <c r="P51" s="5">
        <v>0</v>
      </c>
      <c r="Q51" s="5">
        <v>0</v>
      </c>
      <c r="R51" s="5">
        <v>0</v>
      </c>
      <c r="S51" s="5">
        <v>0</v>
      </c>
      <c r="T51" s="5">
        <v>0</v>
      </c>
      <c r="U51" s="5">
        <v>0</v>
      </c>
      <c r="V51" s="5">
        <v>0</v>
      </c>
      <c r="W51" s="5">
        <v>714000</v>
      </c>
      <c r="X51" s="5">
        <v>728280</v>
      </c>
      <c r="Y51" s="5">
        <v>742845.6</v>
      </c>
      <c r="Z51" s="5">
        <v>757702.51199999999</v>
      </c>
      <c r="AA51" s="5">
        <v>772856.56224</v>
      </c>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row>
    <row r="52" spans="1:66" x14ac:dyDescent="0.2">
      <c r="A52" s="1" t="s">
        <v>114</v>
      </c>
      <c r="B52" s="5">
        <v>0</v>
      </c>
      <c r="C52" s="5">
        <v>0</v>
      </c>
      <c r="D52" s="5">
        <v>0</v>
      </c>
      <c r="E52" s="5">
        <v>0</v>
      </c>
      <c r="F52" s="5">
        <v>0</v>
      </c>
      <c r="G52" s="5">
        <v>0</v>
      </c>
      <c r="H52" s="5">
        <v>0</v>
      </c>
      <c r="I52" s="5">
        <v>0</v>
      </c>
      <c r="J52" s="5">
        <v>510000</v>
      </c>
      <c r="K52" s="5">
        <v>520200</v>
      </c>
      <c r="L52" s="5">
        <v>530604</v>
      </c>
      <c r="M52" s="5">
        <v>541216.07999999996</v>
      </c>
      <c r="N52" s="5">
        <v>552040.40159999998</v>
      </c>
      <c r="O52" s="5">
        <v>0</v>
      </c>
      <c r="P52" s="5">
        <v>0</v>
      </c>
      <c r="Q52" s="5">
        <v>0</v>
      </c>
      <c r="R52" s="5">
        <v>0</v>
      </c>
      <c r="S52" s="5">
        <v>0</v>
      </c>
      <c r="T52" s="5">
        <v>0</v>
      </c>
      <c r="U52" s="5">
        <v>0</v>
      </c>
      <c r="V52" s="5">
        <v>0</v>
      </c>
      <c r="W52" s="5">
        <v>510000</v>
      </c>
      <c r="X52" s="5">
        <v>520200</v>
      </c>
      <c r="Y52" s="5">
        <v>530604</v>
      </c>
      <c r="Z52" s="5">
        <v>541216.07999999996</v>
      </c>
      <c r="AA52" s="5">
        <v>552040.40159999998</v>
      </c>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row>
    <row r="53" spans="1:66" x14ac:dyDescent="0.2">
      <c r="A53" s="1" t="s">
        <v>115</v>
      </c>
      <c r="B53" s="5">
        <v>382130.22000000003</v>
      </c>
      <c r="C53" s="5">
        <v>949045.7</v>
      </c>
      <c r="D53" s="5">
        <v>1332767.8599999999</v>
      </c>
      <c r="E53" s="5">
        <v>1568714.8900000001</v>
      </c>
      <c r="F53" s="5">
        <v>2227736.71</v>
      </c>
      <c r="G53" s="5">
        <v>2171436.44</v>
      </c>
      <c r="H53" s="5">
        <v>2398663</v>
      </c>
      <c r="I53" s="5">
        <v>2543663</v>
      </c>
      <c r="J53" s="5">
        <v>3231478</v>
      </c>
      <c r="K53" s="5">
        <v>3296107.9964000001</v>
      </c>
      <c r="L53" s="5">
        <v>3362030.1563280001</v>
      </c>
      <c r="M53" s="5">
        <v>3429270.75945456</v>
      </c>
      <c r="N53" s="5">
        <v>3497856.1746436511</v>
      </c>
      <c r="O53" s="5">
        <v>382130.22000000003</v>
      </c>
      <c r="P53" s="5">
        <v>949045.7</v>
      </c>
      <c r="Q53" s="5">
        <v>1332767.8599999999</v>
      </c>
      <c r="R53" s="5">
        <v>1568714.8900000001</v>
      </c>
      <c r="S53" s="5">
        <v>2227736.71</v>
      </c>
      <c r="T53" s="5">
        <v>2171436.44</v>
      </c>
      <c r="U53" s="5">
        <v>2398663</v>
      </c>
      <c r="V53" s="5">
        <v>2543663</v>
      </c>
      <c r="W53" s="5">
        <v>3231478</v>
      </c>
      <c r="X53" s="5">
        <v>3296107.9964000001</v>
      </c>
      <c r="Y53" s="5">
        <v>3362030.1563280001</v>
      </c>
      <c r="Z53" s="5">
        <v>3429270.75945456</v>
      </c>
      <c r="AA53" s="5">
        <v>3497856.1746436511</v>
      </c>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row>
    <row r="54" spans="1:66" x14ac:dyDescent="0.2">
      <c r="A54" s="1" t="s">
        <v>116</v>
      </c>
      <c r="B54" s="5">
        <v>382130.22000000003</v>
      </c>
      <c r="C54" s="5">
        <v>949045.7</v>
      </c>
      <c r="D54" s="5">
        <v>1332767.8599999999</v>
      </c>
      <c r="E54" s="5">
        <v>1568714.8900000001</v>
      </c>
      <c r="F54" s="5">
        <v>2227736.71</v>
      </c>
      <c r="G54" s="5">
        <v>2171436.44</v>
      </c>
      <c r="H54" s="5">
        <v>2398663</v>
      </c>
      <c r="I54" s="5">
        <v>2543663</v>
      </c>
      <c r="J54" s="5">
        <v>2601000</v>
      </c>
      <c r="K54" s="5">
        <v>2653020</v>
      </c>
      <c r="L54" s="5">
        <v>2706080.4</v>
      </c>
      <c r="M54" s="5">
        <v>2760202.0079999999</v>
      </c>
      <c r="N54" s="5">
        <v>2815406.0481599998</v>
      </c>
      <c r="O54" s="5">
        <v>382130.22000000003</v>
      </c>
      <c r="P54" s="5">
        <v>949045.7</v>
      </c>
      <c r="Q54" s="5">
        <v>1332767.8599999999</v>
      </c>
      <c r="R54" s="5">
        <v>1568714.8900000001</v>
      </c>
      <c r="S54" s="5">
        <v>2227736.71</v>
      </c>
      <c r="T54" s="5">
        <v>2171436.44</v>
      </c>
      <c r="U54" s="5">
        <v>2398663</v>
      </c>
      <c r="V54" s="5">
        <v>2543663</v>
      </c>
      <c r="W54" s="5">
        <v>2601000</v>
      </c>
      <c r="X54" s="5">
        <v>2653020</v>
      </c>
      <c r="Y54" s="5">
        <v>2706080.4</v>
      </c>
      <c r="Z54" s="5">
        <v>2760202.0079999999</v>
      </c>
      <c r="AA54" s="5">
        <v>2815406.0481599998</v>
      </c>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row>
    <row r="55" spans="1:66" x14ac:dyDescent="0.2">
      <c r="A55" s="1" t="s">
        <v>117</v>
      </c>
      <c r="B55" s="5">
        <v>0</v>
      </c>
      <c r="C55" s="5">
        <v>0</v>
      </c>
      <c r="D55" s="5">
        <v>0</v>
      </c>
      <c r="E55" s="5">
        <v>0</v>
      </c>
      <c r="F55" s="5">
        <v>0</v>
      </c>
      <c r="G55" s="5">
        <v>0</v>
      </c>
      <c r="H55" s="5">
        <v>0</v>
      </c>
      <c r="I55" s="5">
        <v>0</v>
      </c>
      <c r="J55" s="5">
        <v>630478.32000000007</v>
      </c>
      <c r="K55" s="5">
        <v>643087.88639999996</v>
      </c>
      <c r="L55" s="5">
        <v>655949.64412800001</v>
      </c>
      <c r="M55" s="5">
        <v>669068.63701056002</v>
      </c>
      <c r="N55" s="5">
        <v>682450.00975077122</v>
      </c>
      <c r="O55" s="5">
        <v>0</v>
      </c>
      <c r="P55" s="5">
        <v>0</v>
      </c>
      <c r="Q55" s="5">
        <v>0</v>
      </c>
      <c r="R55" s="5">
        <v>0</v>
      </c>
      <c r="S55" s="5">
        <v>0</v>
      </c>
      <c r="T55" s="5">
        <v>0</v>
      </c>
      <c r="U55" s="5">
        <v>0</v>
      </c>
      <c r="V55" s="5">
        <v>0</v>
      </c>
      <c r="W55" s="5">
        <v>630478.32000000007</v>
      </c>
      <c r="X55" s="5">
        <v>643087.88639999996</v>
      </c>
      <c r="Y55" s="5">
        <v>655949.64412800001</v>
      </c>
      <c r="Z55" s="5">
        <v>669068.63701056002</v>
      </c>
      <c r="AA55" s="5">
        <v>682450.00975077122</v>
      </c>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row>
    <row r="56" spans="1:66" x14ac:dyDescent="0.2">
      <c r="A56" s="1" t="s">
        <v>118</v>
      </c>
      <c r="B56" s="5">
        <v>213879.08000000002</v>
      </c>
      <c r="C56" s="5">
        <v>309425.31</v>
      </c>
      <c r="D56" s="5">
        <v>318558.15000000002</v>
      </c>
      <c r="E56" s="5">
        <v>1370965.13</v>
      </c>
      <c r="F56" s="5">
        <v>478892.05</v>
      </c>
      <c r="G56" s="5">
        <v>6225</v>
      </c>
      <c r="H56" s="5">
        <v>0</v>
      </c>
      <c r="I56" s="5">
        <v>0</v>
      </c>
      <c r="J56" s="5">
        <v>0</v>
      </c>
      <c r="K56" s="5">
        <v>0</v>
      </c>
      <c r="L56" s="5">
        <v>0</v>
      </c>
      <c r="M56" s="5">
        <v>0</v>
      </c>
      <c r="N56" s="5">
        <v>0</v>
      </c>
      <c r="O56" s="5">
        <v>213879.08000000002</v>
      </c>
      <c r="P56" s="5">
        <v>309425.31</v>
      </c>
      <c r="Q56" s="5">
        <v>318558.15000000002</v>
      </c>
      <c r="R56" s="5">
        <v>1370965.13</v>
      </c>
      <c r="S56" s="5">
        <v>478892.05</v>
      </c>
      <c r="T56" s="5">
        <v>6225</v>
      </c>
      <c r="U56" s="5">
        <v>0</v>
      </c>
      <c r="V56" s="5">
        <v>0</v>
      </c>
      <c r="W56" s="5">
        <v>0</v>
      </c>
      <c r="X56" s="5">
        <v>0</v>
      </c>
      <c r="Y56" s="5">
        <v>0</v>
      </c>
      <c r="Z56" s="5">
        <v>0</v>
      </c>
      <c r="AA56" s="5">
        <v>0</v>
      </c>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row>
    <row r="57" spans="1:66" x14ac:dyDescent="0.2">
      <c r="A57" s="1" t="s">
        <v>119</v>
      </c>
      <c r="B57" s="5">
        <v>213879.08000000002</v>
      </c>
      <c r="C57" s="5">
        <v>267198.77</v>
      </c>
      <c r="D57" s="5">
        <v>0</v>
      </c>
      <c r="E57" s="5">
        <v>0</v>
      </c>
      <c r="F57" s="5">
        <v>185200</v>
      </c>
      <c r="G57" s="5">
        <v>0</v>
      </c>
      <c r="H57" s="5">
        <v>0</v>
      </c>
      <c r="I57" s="5">
        <v>0</v>
      </c>
      <c r="J57" s="5">
        <v>0</v>
      </c>
      <c r="K57" s="5">
        <v>0</v>
      </c>
      <c r="L57" s="5">
        <v>0</v>
      </c>
      <c r="M57" s="5">
        <v>0</v>
      </c>
      <c r="N57" s="5">
        <v>0</v>
      </c>
      <c r="O57" s="5">
        <v>213879.08000000002</v>
      </c>
      <c r="P57" s="5">
        <v>267198.77</v>
      </c>
      <c r="Q57" s="5">
        <v>0</v>
      </c>
      <c r="R57" s="5">
        <v>0</v>
      </c>
      <c r="S57" s="5">
        <v>185200</v>
      </c>
      <c r="T57" s="5">
        <v>0</v>
      </c>
      <c r="U57" s="5">
        <v>0</v>
      </c>
      <c r="V57" s="5">
        <v>0</v>
      </c>
      <c r="W57" s="5">
        <v>0</v>
      </c>
      <c r="X57" s="5">
        <v>0</v>
      </c>
      <c r="Y57" s="5">
        <v>0</v>
      </c>
      <c r="Z57" s="5">
        <v>0</v>
      </c>
      <c r="AA57" s="5">
        <v>0</v>
      </c>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row>
    <row r="58" spans="1:66" x14ac:dyDescent="0.2">
      <c r="A58" s="1" t="s">
        <v>120</v>
      </c>
      <c r="B58" s="5">
        <v>0</v>
      </c>
      <c r="C58" s="5">
        <v>0</v>
      </c>
      <c r="D58" s="5">
        <v>126325.43</v>
      </c>
      <c r="E58" s="5">
        <v>467106.81000000006</v>
      </c>
      <c r="F58" s="5">
        <v>0</v>
      </c>
      <c r="G58" s="5">
        <v>0</v>
      </c>
      <c r="H58" s="5">
        <v>0</v>
      </c>
      <c r="I58" s="5">
        <v>0</v>
      </c>
      <c r="J58" s="5">
        <v>0</v>
      </c>
      <c r="K58" s="5">
        <v>0</v>
      </c>
      <c r="L58" s="5">
        <v>0</v>
      </c>
      <c r="M58" s="5">
        <v>0</v>
      </c>
      <c r="N58" s="5">
        <v>0</v>
      </c>
      <c r="O58" s="5">
        <v>0</v>
      </c>
      <c r="P58" s="5">
        <v>0</v>
      </c>
      <c r="Q58" s="5">
        <v>126325.43</v>
      </c>
      <c r="R58" s="5">
        <v>467106.81000000006</v>
      </c>
      <c r="S58" s="5">
        <v>0</v>
      </c>
      <c r="T58" s="5">
        <v>0</v>
      </c>
      <c r="U58" s="5">
        <v>0</v>
      </c>
      <c r="V58" s="5">
        <v>0</v>
      </c>
      <c r="W58" s="5">
        <v>0</v>
      </c>
      <c r="X58" s="5">
        <v>0</v>
      </c>
      <c r="Y58" s="5">
        <v>0</v>
      </c>
      <c r="Z58" s="5">
        <v>0</v>
      </c>
      <c r="AA58" s="5">
        <v>0</v>
      </c>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row>
    <row r="59" spans="1:66" x14ac:dyDescent="0.2">
      <c r="A59" s="1" t="s">
        <v>121</v>
      </c>
      <c r="B59" s="5">
        <v>0</v>
      </c>
      <c r="C59" s="5">
        <v>46946.04</v>
      </c>
      <c r="D59" s="5">
        <v>192232.72</v>
      </c>
      <c r="E59" s="5">
        <v>82463.520000000004</v>
      </c>
      <c r="F59" s="5">
        <v>288724.40999999997</v>
      </c>
      <c r="G59" s="5">
        <v>0</v>
      </c>
      <c r="H59" s="5">
        <v>0</v>
      </c>
      <c r="I59" s="5">
        <v>0</v>
      </c>
      <c r="J59" s="5">
        <v>0</v>
      </c>
      <c r="K59" s="5">
        <v>0</v>
      </c>
      <c r="L59" s="5">
        <v>0</v>
      </c>
      <c r="M59" s="5">
        <v>0</v>
      </c>
      <c r="N59" s="5">
        <v>0</v>
      </c>
      <c r="O59" s="5">
        <v>0</v>
      </c>
      <c r="P59" s="5">
        <v>46946.04</v>
      </c>
      <c r="Q59" s="5">
        <v>192232.72</v>
      </c>
      <c r="R59" s="5">
        <v>82463.520000000004</v>
      </c>
      <c r="S59" s="5">
        <v>288724.40999999997</v>
      </c>
      <c r="T59" s="5">
        <v>0</v>
      </c>
      <c r="U59" s="5">
        <v>0</v>
      </c>
      <c r="V59" s="5">
        <v>0</v>
      </c>
      <c r="W59" s="5">
        <v>0</v>
      </c>
      <c r="X59" s="5">
        <v>0</v>
      </c>
      <c r="Y59" s="5">
        <v>0</v>
      </c>
      <c r="Z59" s="5">
        <v>0</v>
      </c>
      <c r="AA59" s="5">
        <v>0</v>
      </c>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row>
    <row r="60" spans="1:66" x14ac:dyDescent="0.2">
      <c r="A60" s="1" t="s">
        <v>122</v>
      </c>
      <c r="B60" s="5">
        <v>0</v>
      </c>
      <c r="C60" s="5">
        <v>-4719.5000000000236</v>
      </c>
      <c r="D60" s="5">
        <v>0</v>
      </c>
      <c r="E60" s="5">
        <v>0</v>
      </c>
      <c r="F60" s="5">
        <v>0</v>
      </c>
      <c r="G60" s="5">
        <v>0</v>
      </c>
      <c r="H60" s="5">
        <v>0</v>
      </c>
      <c r="I60" s="5">
        <v>0</v>
      </c>
      <c r="J60" s="5">
        <v>0</v>
      </c>
      <c r="K60" s="5">
        <v>0</v>
      </c>
      <c r="L60" s="5">
        <v>0</v>
      </c>
      <c r="M60" s="5">
        <v>0</v>
      </c>
      <c r="N60" s="5">
        <v>0</v>
      </c>
      <c r="O60" s="5">
        <v>0</v>
      </c>
      <c r="P60" s="5">
        <v>-4719.5000000000236</v>
      </c>
      <c r="Q60" s="5">
        <v>0</v>
      </c>
      <c r="R60" s="5">
        <v>0</v>
      </c>
      <c r="S60" s="5">
        <v>0</v>
      </c>
      <c r="T60" s="5">
        <v>0</v>
      </c>
      <c r="U60" s="5">
        <v>0</v>
      </c>
      <c r="V60" s="5">
        <v>0</v>
      </c>
      <c r="W60" s="5">
        <v>0</v>
      </c>
      <c r="X60" s="5">
        <v>0</v>
      </c>
      <c r="Y60" s="5">
        <v>0</v>
      </c>
      <c r="Z60" s="5">
        <v>0</v>
      </c>
      <c r="AA60" s="5">
        <v>0</v>
      </c>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row>
    <row r="61" spans="1:66" x14ac:dyDescent="0.2">
      <c r="A61" s="1" t="s">
        <v>57</v>
      </c>
      <c r="B61" s="5">
        <v>0</v>
      </c>
      <c r="C61" s="5">
        <v>0</v>
      </c>
      <c r="D61" s="5">
        <v>0</v>
      </c>
      <c r="E61" s="5">
        <v>821394.79999999993</v>
      </c>
      <c r="F61" s="5">
        <v>4967.6400000000003</v>
      </c>
      <c r="G61" s="5">
        <v>6225</v>
      </c>
      <c r="H61" s="5">
        <v>0</v>
      </c>
      <c r="I61" s="5">
        <v>0</v>
      </c>
      <c r="J61" s="5">
        <v>0</v>
      </c>
      <c r="K61" s="5">
        <v>0</v>
      </c>
      <c r="L61" s="5">
        <v>0</v>
      </c>
      <c r="M61" s="5">
        <v>0</v>
      </c>
      <c r="N61" s="5">
        <v>0</v>
      </c>
      <c r="O61" s="5">
        <v>0</v>
      </c>
      <c r="P61" s="5">
        <v>0</v>
      </c>
      <c r="Q61" s="5">
        <v>0</v>
      </c>
      <c r="R61" s="5">
        <v>821394.79999999993</v>
      </c>
      <c r="S61" s="5">
        <v>4967.6400000000003</v>
      </c>
      <c r="T61" s="5">
        <v>6225</v>
      </c>
      <c r="U61" s="5">
        <v>0</v>
      </c>
      <c r="V61" s="5">
        <v>0</v>
      </c>
      <c r="W61" s="5">
        <v>0</v>
      </c>
      <c r="X61" s="5">
        <v>0</v>
      </c>
      <c r="Y61" s="5">
        <v>0</v>
      </c>
      <c r="Z61" s="5">
        <v>0</v>
      </c>
      <c r="AA61" s="5">
        <v>0</v>
      </c>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row>
    <row r="62" spans="1:66" x14ac:dyDescent="0.2">
      <c r="A62" s="1"/>
      <c r="B62" s="5">
        <v>0</v>
      </c>
      <c r="C62" s="5">
        <v>0</v>
      </c>
      <c r="D62" s="5">
        <v>0</v>
      </c>
      <c r="E62" s="5">
        <v>0</v>
      </c>
      <c r="F62" s="5">
        <v>0</v>
      </c>
      <c r="G62" s="5">
        <v>0</v>
      </c>
      <c r="H62" s="5">
        <v>0</v>
      </c>
      <c r="I62" s="5">
        <v>0</v>
      </c>
      <c r="J62" s="5">
        <v>0</v>
      </c>
      <c r="K62" s="5">
        <v>0</v>
      </c>
      <c r="L62" s="5">
        <v>0</v>
      </c>
      <c r="M62" s="5">
        <v>0</v>
      </c>
      <c r="N62" s="5">
        <v>0</v>
      </c>
      <c r="O62" s="5">
        <v>0</v>
      </c>
      <c r="P62" s="5">
        <v>0</v>
      </c>
      <c r="Q62" s="5">
        <v>0</v>
      </c>
      <c r="R62" s="5">
        <v>0</v>
      </c>
      <c r="S62" s="5">
        <v>0</v>
      </c>
      <c r="T62" s="5">
        <v>0</v>
      </c>
      <c r="U62" s="5">
        <v>0</v>
      </c>
      <c r="V62" s="5">
        <v>0</v>
      </c>
      <c r="W62" s="5">
        <v>0</v>
      </c>
      <c r="X62" s="5">
        <v>0</v>
      </c>
      <c r="Y62" s="5">
        <v>0</v>
      </c>
      <c r="Z62" s="5">
        <v>0</v>
      </c>
      <c r="AA62" s="5">
        <v>0</v>
      </c>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row>
    <row r="63" spans="1:66" x14ac:dyDescent="0.2">
      <c r="A63" s="1" t="s">
        <v>123</v>
      </c>
      <c r="B63" s="5">
        <v>4127480.5500000003</v>
      </c>
      <c r="C63" s="5">
        <v>11411464.982275</v>
      </c>
      <c r="D63" s="5">
        <v>11360064.147724999</v>
      </c>
      <c r="E63" s="5">
        <v>13325425.699999999</v>
      </c>
      <c r="F63" s="5">
        <v>11046663.290000003</v>
      </c>
      <c r="G63" s="5">
        <v>7572693.7999999989</v>
      </c>
      <c r="H63" s="5">
        <v>8824696.9499999993</v>
      </c>
      <c r="I63" s="5">
        <v>10905719</v>
      </c>
      <c r="J63" s="5">
        <v>18359999.998982839</v>
      </c>
      <c r="K63" s="5">
        <v>18727199.998962495</v>
      </c>
      <c r="L63" s="5">
        <v>19101743.998941746</v>
      </c>
      <c r="M63" s="5">
        <v>19483778.878920581</v>
      </c>
      <c r="N63" s="5">
        <v>19873455.456498992</v>
      </c>
      <c r="O63" s="5">
        <v>4127480.5500000003</v>
      </c>
      <c r="P63" s="5">
        <v>11411464.982275</v>
      </c>
      <c r="Q63" s="5">
        <v>11360064.147724999</v>
      </c>
      <c r="R63" s="5">
        <v>13325425.699999999</v>
      </c>
      <c r="S63" s="5">
        <v>11046663.290000003</v>
      </c>
      <c r="T63" s="5">
        <v>7572693.7999999989</v>
      </c>
      <c r="U63" s="5">
        <v>8824696.9499999993</v>
      </c>
      <c r="V63" s="5">
        <v>10905719</v>
      </c>
      <c r="W63" s="5">
        <v>18359999.998982839</v>
      </c>
      <c r="X63" s="5">
        <v>18727199.998962495</v>
      </c>
      <c r="Y63" s="5">
        <v>19101743.998941746</v>
      </c>
      <c r="Z63" s="5">
        <v>19483778.878920581</v>
      </c>
      <c r="AA63" s="5">
        <v>19873455.456498992</v>
      </c>
      <c r="AB63" s="5">
        <v>0</v>
      </c>
      <c r="AC63" s="5">
        <v>0</v>
      </c>
      <c r="AD63" s="5">
        <v>0</v>
      </c>
      <c r="AE63" s="5">
        <v>0</v>
      </c>
      <c r="AF63" s="5">
        <v>0</v>
      </c>
      <c r="AG63" s="5">
        <v>0</v>
      </c>
      <c r="AH63" s="5">
        <v>0</v>
      </c>
      <c r="AI63" s="5">
        <v>0</v>
      </c>
      <c r="AJ63" s="5"/>
      <c r="AK63" s="5"/>
      <c r="AL63" s="5"/>
      <c r="AM63" s="5"/>
      <c r="AN63" s="5"/>
      <c r="AO63" s="5">
        <v>0</v>
      </c>
      <c r="AP63" s="5">
        <v>0</v>
      </c>
      <c r="AQ63" s="5">
        <v>0</v>
      </c>
      <c r="AR63" s="5">
        <v>0</v>
      </c>
      <c r="AS63" s="5">
        <v>0</v>
      </c>
      <c r="AT63" s="5">
        <v>0</v>
      </c>
      <c r="AU63" s="5">
        <v>0</v>
      </c>
      <c r="AV63" s="5">
        <v>0</v>
      </c>
      <c r="AW63" s="5"/>
      <c r="AX63" s="5"/>
      <c r="AY63" s="5"/>
      <c r="AZ63" s="5"/>
      <c r="BA63" s="5"/>
      <c r="BB63" s="5">
        <v>0</v>
      </c>
      <c r="BC63" s="5">
        <v>0</v>
      </c>
      <c r="BD63" s="5">
        <v>0</v>
      </c>
      <c r="BE63" s="5">
        <v>0</v>
      </c>
      <c r="BF63" s="5">
        <v>0</v>
      </c>
      <c r="BG63" s="5">
        <v>0</v>
      </c>
      <c r="BH63" s="5">
        <v>0</v>
      </c>
      <c r="BI63" s="5"/>
      <c r="BJ63" s="5"/>
      <c r="BK63" s="5"/>
      <c r="BL63" s="5"/>
      <c r="BM63" s="5"/>
      <c r="BN63" s="5"/>
    </row>
    <row r="64" spans="1:66" x14ac:dyDescent="0.2">
      <c r="A64" s="1" t="s">
        <v>9</v>
      </c>
      <c r="B64" s="5">
        <v>68172617.170000002</v>
      </c>
      <c r="C64" s="5">
        <v>106313935.70451327</v>
      </c>
      <c r="D64" s="5">
        <v>126944549.31000006</v>
      </c>
      <c r="E64" s="5">
        <v>135277386.82999998</v>
      </c>
      <c r="F64" s="5">
        <v>138447745.38000003</v>
      </c>
      <c r="G64" s="5">
        <v>119036735.57000001</v>
      </c>
      <c r="H64" s="5">
        <v>135015071.14499998</v>
      </c>
      <c r="I64" s="5">
        <v>133606916.99999999</v>
      </c>
      <c r="J64" s="5">
        <v>142259999.98898286</v>
      </c>
      <c r="K64" s="5">
        <v>148822200.00896248</v>
      </c>
      <c r="L64" s="5">
        <v>155701493.99894175</v>
      </c>
      <c r="M64" s="5">
        <v>162913516.87892061</v>
      </c>
      <c r="N64" s="5">
        <v>170474680.45649904</v>
      </c>
      <c r="O64" s="5">
        <v>18003774.809999995</v>
      </c>
      <c r="P64" s="5">
        <v>24538035.469999999</v>
      </c>
      <c r="Q64" s="5">
        <v>25770349.13000004</v>
      </c>
      <c r="R64" s="5">
        <v>27930906.379999995</v>
      </c>
      <c r="S64" s="5">
        <v>24445595.810000002</v>
      </c>
      <c r="T64" s="5">
        <v>20741047.049999997</v>
      </c>
      <c r="U64" s="5">
        <v>23012722.57</v>
      </c>
      <c r="V64" s="5">
        <v>27177260</v>
      </c>
      <c r="W64" s="5">
        <v>30160619.998013347</v>
      </c>
      <c r="X64" s="5">
        <v>30706695.402275693</v>
      </c>
      <c r="Y64" s="5">
        <v>31320829.310321204</v>
      </c>
      <c r="Z64" s="5">
        <v>31947245.896527629</v>
      </c>
      <c r="AA64" s="5">
        <v>32586191.814458184</v>
      </c>
      <c r="AB64" s="5">
        <v>0</v>
      </c>
      <c r="AC64" s="5">
        <v>0</v>
      </c>
      <c r="AD64" s="5">
        <v>0</v>
      </c>
      <c r="AE64" s="5">
        <v>0</v>
      </c>
      <c r="AF64" s="5">
        <v>0</v>
      </c>
      <c r="AG64" s="5">
        <v>0</v>
      </c>
      <c r="AH64" s="5">
        <v>0</v>
      </c>
      <c r="AI64" s="5">
        <v>0</v>
      </c>
      <c r="AJ64" s="5">
        <v>12652224.116196569</v>
      </c>
      <c r="AK64" s="5">
        <v>13274010.598520502</v>
      </c>
      <c r="AL64" s="5">
        <v>14576408.731458377</v>
      </c>
      <c r="AM64" s="5">
        <v>15956700.858789958</v>
      </c>
      <c r="AN64" s="5">
        <v>17419036.917373557</v>
      </c>
      <c r="AO64" s="5">
        <v>40766575.560000002</v>
      </c>
      <c r="AP64" s="5">
        <v>68793007.204513282</v>
      </c>
      <c r="AQ64" s="5">
        <v>80083005.340000004</v>
      </c>
      <c r="AR64" s="5">
        <v>89159798.109999999</v>
      </c>
      <c r="AS64" s="5">
        <v>98010355.920000002</v>
      </c>
      <c r="AT64" s="5">
        <v>85216600.469999999</v>
      </c>
      <c r="AU64" s="5">
        <v>95826174.734999999</v>
      </c>
      <c r="AV64" s="5">
        <v>106429657</v>
      </c>
      <c r="AW64" s="5">
        <v>89415951.191906959</v>
      </c>
      <c r="AX64" s="5">
        <v>94494008.663643017</v>
      </c>
      <c r="AY64" s="5">
        <v>98823997.880972281</v>
      </c>
      <c r="AZ64" s="5">
        <v>103362592.65415305</v>
      </c>
      <c r="BA64" s="5">
        <v>108120064.8072385</v>
      </c>
      <c r="BB64" s="5">
        <v>9402266.7999999989</v>
      </c>
      <c r="BC64" s="5">
        <v>12982893.030000001</v>
      </c>
      <c r="BD64" s="5">
        <v>21091194.84</v>
      </c>
      <c r="BE64" s="5">
        <v>18186682.340000007</v>
      </c>
      <c r="BF64" s="5">
        <v>15991793.649999999</v>
      </c>
      <c r="BG64" s="5">
        <v>13079088.050000001</v>
      </c>
      <c r="BH64" s="5">
        <v>16176173.84</v>
      </c>
      <c r="BI64" s="5"/>
      <c r="BJ64" s="5">
        <v>10031204.682865961</v>
      </c>
      <c r="BK64" s="5">
        <v>10347485.344523281</v>
      </c>
      <c r="BL64" s="5">
        <v>10980258.076189887</v>
      </c>
      <c r="BM64" s="5">
        <v>11646977.46944998</v>
      </c>
      <c r="BN64" s="5">
        <v>12349386.917428769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9CD34-F0C5-0849-BFA3-D5C5CEC940B4}">
  <sheetPr>
    <tabColor theme="6"/>
  </sheetPr>
  <dimension ref="A1:B22"/>
  <sheetViews>
    <sheetView zoomScale="180" zoomScaleNormal="180" workbookViewId="0">
      <selection activeCell="B22" sqref="B22"/>
    </sheetView>
  </sheetViews>
  <sheetFormatPr baseColWidth="10" defaultRowHeight="15" x14ac:dyDescent="0.2"/>
  <cols>
    <col min="1" max="1" width="35.1640625" style="69" customWidth="1"/>
    <col min="2" max="16384" width="10.83203125" style="69"/>
  </cols>
  <sheetData>
    <row r="1" spans="1:2" x14ac:dyDescent="0.2">
      <c r="A1" s="69" t="s">
        <v>254</v>
      </c>
    </row>
    <row r="3" spans="1:2" x14ac:dyDescent="0.2">
      <c r="A3" s="69" t="s">
        <v>255</v>
      </c>
    </row>
    <row r="5" spans="1:2" x14ac:dyDescent="0.2">
      <c r="A5" s="77" t="s">
        <v>256</v>
      </c>
      <c r="B5" s="78">
        <v>23.18</v>
      </c>
    </row>
    <row r="6" spans="1:2" x14ac:dyDescent="0.2">
      <c r="A6" s="77" t="s">
        <v>257</v>
      </c>
      <c r="B6" s="78">
        <v>66.12</v>
      </c>
    </row>
    <row r="7" spans="1:2" x14ac:dyDescent="0.2">
      <c r="A7" s="77" t="s">
        <v>258</v>
      </c>
      <c r="B7" s="78">
        <v>0</v>
      </c>
    </row>
    <row r="8" spans="1:2" x14ac:dyDescent="0.2">
      <c r="A8" s="77" t="s">
        <v>259</v>
      </c>
      <c r="B8" s="78">
        <v>247.28</v>
      </c>
    </row>
    <row r="9" spans="1:2" x14ac:dyDescent="0.2">
      <c r="A9" s="77" t="s">
        <v>260</v>
      </c>
      <c r="B9" s="78">
        <v>3.9</v>
      </c>
    </row>
    <row r="10" spans="1:2" x14ac:dyDescent="0.2">
      <c r="A10" s="77" t="s">
        <v>261</v>
      </c>
      <c r="B10" s="78">
        <v>0</v>
      </c>
    </row>
    <row r="11" spans="1:2" x14ac:dyDescent="0.2">
      <c r="A11" s="77" t="s">
        <v>262</v>
      </c>
      <c r="B11" s="78">
        <v>0</v>
      </c>
    </row>
    <row r="12" spans="1:2" x14ac:dyDescent="0.2">
      <c r="A12" s="77" t="s">
        <v>263</v>
      </c>
      <c r="B12" s="78">
        <v>10.52</v>
      </c>
    </row>
    <row r="13" spans="1:2" x14ac:dyDescent="0.2">
      <c r="A13" s="77" t="s">
        <v>264</v>
      </c>
      <c r="B13" s="78">
        <v>98.81</v>
      </c>
    </row>
    <row r="14" spans="1:2" ht="17" x14ac:dyDescent="0.2">
      <c r="A14" s="148" t="s">
        <v>265</v>
      </c>
      <c r="B14" s="149">
        <v>449.82</v>
      </c>
    </row>
    <row r="15" spans="1:2" x14ac:dyDescent="0.2">
      <c r="A15" s="294" t="s">
        <v>266</v>
      </c>
      <c r="B15" s="295">
        <v>58.48</v>
      </c>
    </row>
    <row r="16" spans="1:2" x14ac:dyDescent="0.2">
      <c r="A16" s="294"/>
      <c r="B16" s="295"/>
    </row>
    <row r="17" spans="1:2" ht="18" x14ac:dyDescent="0.2">
      <c r="A17" s="150" t="s">
        <v>267</v>
      </c>
      <c r="B17" s="151">
        <v>508.3</v>
      </c>
    </row>
    <row r="19" spans="1:2" x14ac:dyDescent="0.2">
      <c r="A19" s="69" t="s">
        <v>268</v>
      </c>
      <c r="B19" s="69">
        <v>1262</v>
      </c>
    </row>
    <row r="21" spans="1:2" x14ac:dyDescent="0.2">
      <c r="A21" s="69" t="s">
        <v>269</v>
      </c>
      <c r="B21" s="76">
        <f>SUM(B6:B13)</f>
        <v>426.62999999999994</v>
      </c>
    </row>
    <row r="22" spans="1:2" x14ac:dyDescent="0.2">
      <c r="A22" s="69" t="s">
        <v>270</v>
      </c>
      <c r="B22" s="76">
        <f>B21/B19</f>
        <v>0.33805863708399359</v>
      </c>
    </row>
  </sheetData>
  <mergeCells count="2">
    <mergeCell ref="A15:A16"/>
    <mergeCell ref="B15:B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C0B08-26E0-404B-AC98-C8CE421ABECE}">
  <sheetPr>
    <tabColor theme="6"/>
  </sheetPr>
  <dimension ref="A1:N48"/>
  <sheetViews>
    <sheetView zoomScale="150" zoomScaleNormal="150" workbookViewId="0">
      <pane xSplit="1" ySplit="1" topLeftCell="F2" activePane="bottomRight" state="frozen"/>
      <selection activeCell="G8" sqref="G8"/>
      <selection pane="topRight" activeCell="G8" sqref="G8"/>
      <selection pane="bottomLeft" activeCell="G8" sqref="G8"/>
      <selection pane="bottomRight" activeCell="G5" sqref="G5"/>
    </sheetView>
  </sheetViews>
  <sheetFormatPr baseColWidth="10" defaultRowHeight="15" x14ac:dyDescent="0.2"/>
  <cols>
    <col min="1" max="1" width="30.33203125" style="69" bestFit="1" customWidth="1"/>
    <col min="2" max="6" width="22.33203125" style="69" customWidth="1"/>
    <col min="7" max="8" width="10.83203125" style="69"/>
    <col min="9" max="9" width="12.1640625" style="69" bestFit="1" customWidth="1"/>
    <col min="10" max="10" width="11.1640625" style="69" bestFit="1" customWidth="1"/>
    <col min="11" max="16384" width="10.83203125" style="69"/>
  </cols>
  <sheetData>
    <row r="1" spans="1:14" s="59" customFormat="1" ht="48" x14ac:dyDescent="0.2">
      <c r="A1" s="57" t="s">
        <v>151</v>
      </c>
      <c r="B1" s="58" t="s">
        <v>152</v>
      </c>
      <c r="C1" s="58" t="s">
        <v>153</v>
      </c>
      <c r="D1" s="58" t="s">
        <v>154</v>
      </c>
      <c r="E1" s="58" t="s">
        <v>125</v>
      </c>
      <c r="F1" s="58" t="s">
        <v>155</v>
      </c>
      <c r="G1" s="59" t="s">
        <v>126</v>
      </c>
      <c r="H1" s="59" t="s">
        <v>156</v>
      </c>
      <c r="I1" s="59" t="s">
        <v>157</v>
      </c>
      <c r="J1" s="59" t="s">
        <v>158</v>
      </c>
      <c r="K1" s="59" t="s">
        <v>159</v>
      </c>
      <c r="L1" s="59" t="s">
        <v>160</v>
      </c>
      <c r="M1" s="59" t="s">
        <v>161</v>
      </c>
      <c r="N1" s="60" t="s">
        <v>162</v>
      </c>
    </row>
    <row r="2" spans="1:14" ht="16" x14ac:dyDescent="0.2">
      <c r="A2" s="61" t="s">
        <v>0</v>
      </c>
      <c r="B2" s="62">
        <v>17931274.370000001</v>
      </c>
      <c r="C2" s="62">
        <v>37958816.689999998</v>
      </c>
      <c r="D2" s="63">
        <v>43174860.93</v>
      </c>
      <c r="E2" s="63">
        <v>24355343.75</v>
      </c>
      <c r="F2" s="63">
        <v>5338</v>
      </c>
      <c r="G2" s="64">
        <f>B2/C2</f>
        <v>0.47238760144817366</v>
      </c>
      <c r="H2" s="64">
        <f>E2/D2</f>
        <v>0.56410937349601786</v>
      </c>
      <c r="I2" s="65">
        <f>C2/F2</f>
        <v>7111.0559554140127</v>
      </c>
      <c r="J2" s="65">
        <f>B2/F2</f>
        <v>3359.1746665417763</v>
      </c>
      <c r="K2" s="66">
        <f>C2/D2</f>
        <v>0.8791879318741328</v>
      </c>
      <c r="L2" s="66">
        <f>B2/D2</f>
        <v>0.41531747836020189</v>
      </c>
      <c r="M2" s="67">
        <f>D2/F2</f>
        <v>8088.2092412888724</v>
      </c>
      <c r="N2" s="68">
        <f>(I2-J2)/(M2*'Example Bill'!$B$22)</f>
        <v>1.3721597457623256</v>
      </c>
    </row>
    <row r="3" spans="1:14" ht="16" x14ac:dyDescent="0.2">
      <c r="A3" s="70" t="s">
        <v>1</v>
      </c>
      <c r="B3" s="71">
        <v>10944600</v>
      </c>
      <c r="C3" s="71">
        <v>21398005.239999998</v>
      </c>
      <c r="D3" s="72">
        <v>33555586</v>
      </c>
      <c r="E3" s="72">
        <v>17051253.66</v>
      </c>
      <c r="F3" s="72">
        <v>877</v>
      </c>
      <c r="G3" s="64">
        <f t="shared" ref="G3:G18" si="0">B3/C3</f>
        <v>0.51147758294501666</v>
      </c>
      <c r="H3" s="64">
        <f t="shared" ref="H3:H18" si="1">E3/D3</f>
        <v>0.50814948247364833</v>
      </c>
      <c r="I3" s="65">
        <f t="shared" ref="I3:I18" si="2">C3/F3</f>
        <v>24399.093774230329</v>
      </c>
      <c r="J3" s="65">
        <f t="shared" ref="J3:J18" si="3">B3/F3</f>
        <v>12479.589509692132</v>
      </c>
      <c r="K3" s="66">
        <f t="shared" ref="K3:K18" si="4">C3/D3</f>
        <v>0.63768831931589565</v>
      </c>
      <c r="L3" s="66">
        <f t="shared" ref="L3:L18" si="5">B3/D3</f>
        <v>0.3261632802359643</v>
      </c>
      <c r="M3" s="67">
        <f t="shared" ref="M3:M18" si="6">D3/F3</f>
        <v>38261.785632839223</v>
      </c>
      <c r="N3" s="68">
        <f>(I3-J3)/(M3*'Example Bill'!$B$22)</f>
        <v>0.92151184707796796</v>
      </c>
    </row>
    <row r="4" spans="1:14" ht="16" x14ac:dyDescent="0.2">
      <c r="A4" s="70" t="s">
        <v>3</v>
      </c>
      <c r="B4" s="71">
        <v>4326363</v>
      </c>
      <c r="C4" s="71">
        <v>5622263.7599999998</v>
      </c>
      <c r="D4" s="72">
        <v>3734120.71</v>
      </c>
      <c r="E4" s="72">
        <v>3542143.6030000001</v>
      </c>
      <c r="F4" s="72">
        <v>1364</v>
      </c>
      <c r="G4" s="64">
        <f t="shared" si="0"/>
        <v>0.76950552031731789</v>
      </c>
      <c r="H4" s="64">
        <f t="shared" si="1"/>
        <v>0.94858840356020524</v>
      </c>
      <c r="I4" s="65">
        <f t="shared" si="2"/>
        <v>4121.8942521994131</v>
      </c>
      <c r="J4" s="65">
        <f t="shared" si="3"/>
        <v>3171.8203812316715</v>
      </c>
      <c r="K4" s="66">
        <f t="shared" si="4"/>
        <v>1.5056459596883252</v>
      </c>
      <c r="L4" s="66">
        <f t="shared" si="5"/>
        <v>1.1586028776236321</v>
      </c>
      <c r="M4" s="67">
        <f t="shared" si="6"/>
        <v>2737.6251539589443</v>
      </c>
      <c r="N4" s="68">
        <f>(I4-J4)/(M4*'Example Bill'!$B$22)</f>
        <v>1.0265765875949713</v>
      </c>
    </row>
    <row r="5" spans="1:14" ht="16" x14ac:dyDescent="0.2">
      <c r="A5" s="70" t="s">
        <v>2</v>
      </c>
      <c r="B5" s="71">
        <v>2140029.36</v>
      </c>
      <c r="C5" s="71">
        <v>6283462.6900000004</v>
      </c>
      <c r="D5" s="72">
        <v>3372706.4169999999</v>
      </c>
      <c r="E5" s="72">
        <v>1734187.0549999999</v>
      </c>
      <c r="F5" s="72">
        <v>1522</v>
      </c>
      <c r="G5" s="64">
        <f t="shared" si="0"/>
        <v>0.34058121541897779</v>
      </c>
      <c r="H5" s="64">
        <f t="shared" si="1"/>
        <v>0.51418262978920881</v>
      </c>
      <c r="I5" s="65">
        <f t="shared" si="2"/>
        <v>4128.4248948751647</v>
      </c>
      <c r="J5" s="65">
        <f t="shared" si="3"/>
        <v>1406.0639684625492</v>
      </c>
      <c r="K5" s="66">
        <f t="shared" si="4"/>
        <v>1.8630328030712793</v>
      </c>
      <c r="L5" s="66">
        <f t="shared" si="5"/>
        <v>0.63451397643544138</v>
      </c>
      <c r="M5" s="67">
        <f t="shared" si="6"/>
        <v>2215.970050591327</v>
      </c>
      <c r="N5" s="68">
        <f>(I5-J5)/(M5*'Example Bill'!$B$22)</f>
        <v>3.6340406422765104</v>
      </c>
    </row>
    <row r="6" spans="1:14" ht="16" x14ac:dyDescent="0.2">
      <c r="A6" s="70" t="s">
        <v>4</v>
      </c>
      <c r="B6" s="71">
        <v>520282.00799999997</v>
      </c>
      <c r="C6" s="71">
        <v>4655085</v>
      </c>
      <c r="D6" s="72">
        <v>2512447.807</v>
      </c>
      <c r="E6" s="72">
        <v>2027759.433</v>
      </c>
      <c r="F6" s="72">
        <v>1575</v>
      </c>
      <c r="G6" s="64">
        <f t="shared" si="0"/>
        <v>0.1117663819242828</v>
      </c>
      <c r="H6" s="64">
        <f t="shared" si="1"/>
        <v>0.80708519689459957</v>
      </c>
      <c r="I6" s="65">
        <f t="shared" si="2"/>
        <v>2955.609523809524</v>
      </c>
      <c r="J6" s="65">
        <f t="shared" si="3"/>
        <v>330.33778285714283</v>
      </c>
      <c r="K6" s="66">
        <f t="shared" si="4"/>
        <v>1.8528086382651769</v>
      </c>
      <c r="L6" s="66">
        <f t="shared" si="5"/>
        <v>0.20708171789695609</v>
      </c>
      <c r="M6" s="67">
        <f t="shared" si="6"/>
        <v>1595.2049568253969</v>
      </c>
      <c r="N6" s="68">
        <f>(I6-J6)/(M6*'Example Bill'!$B$22)</f>
        <v>4.8681700150122937</v>
      </c>
    </row>
    <row r="7" spans="1:14" ht="16" x14ac:dyDescent="0.2">
      <c r="A7" s="61" t="s">
        <v>66</v>
      </c>
      <c r="B7" s="62">
        <v>13464000</v>
      </c>
      <c r="C7" s="62">
        <v>27027053</v>
      </c>
      <c r="D7" s="63">
        <v>115253150</v>
      </c>
      <c r="E7" s="63">
        <v>50376897.299999997</v>
      </c>
      <c r="F7" s="63">
        <v>511</v>
      </c>
      <c r="G7" s="64">
        <f t="shared" si="0"/>
        <v>0.49816752126101205</v>
      </c>
      <c r="H7" s="64">
        <f t="shared" si="1"/>
        <v>0.43709779125342774</v>
      </c>
      <c r="I7" s="65">
        <f t="shared" si="2"/>
        <v>52890.514677103718</v>
      </c>
      <c r="J7" s="65">
        <f t="shared" si="3"/>
        <v>26348.336594911936</v>
      </c>
      <c r="K7" s="66">
        <f t="shared" si="4"/>
        <v>0.23450164268829096</v>
      </c>
      <c r="L7" s="66">
        <f t="shared" si="5"/>
        <v>0.11682110206966144</v>
      </c>
      <c r="M7" s="67">
        <f t="shared" si="6"/>
        <v>225544.32485322896</v>
      </c>
      <c r="N7" s="68">
        <f>(I7-J7)/(M7*'Example Bill'!$B$22)</f>
        <v>0.34810688948435531</v>
      </c>
    </row>
    <row r="8" spans="1:14" ht="16" x14ac:dyDescent="0.2">
      <c r="A8" s="70" t="s">
        <v>60</v>
      </c>
      <c r="B8" s="71">
        <v>13464000</v>
      </c>
      <c r="C8" s="71">
        <v>27027053</v>
      </c>
      <c r="D8" s="72">
        <v>115253150</v>
      </c>
      <c r="E8" s="72">
        <v>50376897.299999997</v>
      </c>
      <c r="F8" s="72">
        <v>511</v>
      </c>
      <c r="G8" s="64">
        <f t="shared" si="0"/>
        <v>0.49816752126101205</v>
      </c>
      <c r="H8" s="64">
        <f t="shared" si="1"/>
        <v>0.43709779125342774</v>
      </c>
      <c r="I8" s="65">
        <f t="shared" si="2"/>
        <v>52890.514677103718</v>
      </c>
      <c r="J8" s="65">
        <f t="shared" si="3"/>
        <v>26348.336594911936</v>
      </c>
      <c r="K8" s="66">
        <f t="shared" si="4"/>
        <v>0.23450164268829096</v>
      </c>
      <c r="L8" s="66">
        <f t="shared" si="5"/>
        <v>0.11682110206966144</v>
      </c>
      <c r="M8" s="67">
        <f t="shared" si="6"/>
        <v>225544.32485322896</v>
      </c>
      <c r="N8" s="68">
        <f>(I8-J8)/(M8*'Example Bill'!$B$22)</f>
        <v>0.34810688948435531</v>
      </c>
    </row>
    <row r="9" spans="1:14" ht="16" x14ac:dyDescent="0.2">
      <c r="A9" s="61" t="s">
        <v>67</v>
      </c>
      <c r="B9" s="62">
        <v>2499000</v>
      </c>
      <c r="C9" s="62">
        <v>28462720</v>
      </c>
      <c r="D9" s="63">
        <v>60744609.200000003</v>
      </c>
      <c r="E9" s="63">
        <v>9299999.6689999998</v>
      </c>
      <c r="F9" s="63">
        <v>88</v>
      </c>
      <c r="G9" s="64">
        <f t="shared" si="0"/>
        <v>8.7799057855327947E-2</v>
      </c>
      <c r="H9" s="64">
        <f t="shared" si="1"/>
        <v>0.15310000000790192</v>
      </c>
      <c r="I9" s="65">
        <f t="shared" si="2"/>
        <v>323440</v>
      </c>
      <c r="J9" s="65">
        <f t="shared" si="3"/>
        <v>28397.727272727272</v>
      </c>
      <c r="K9" s="66">
        <f t="shared" si="4"/>
        <v>0.46856371906661304</v>
      </c>
      <c r="L9" s="66">
        <f t="shared" si="5"/>
        <v>4.1139453079237193E-2</v>
      </c>
      <c r="M9" s="67">
        <f t="shared" si="6"/>
        <v>690279.65</v>
      </c>
      <c r="N9" s="68">
        <f>(I9-J9)/(M9*'Example Bill'!$B$22)</f>
        <v>1.2643494917752349</v>
      </c>
    </row>
    <row r="10" spans="1:14" ht="16" x14ac:dyDescent="0.2">
      <c r="A10" s="70" t="s">
        <v>163</v>
      </c>
      <c r="B10" s="71">
        <v>2499000</v>
      </c>
      <c r="C10" s="71">
        <v>28462720</v>
      </c>
      <c r="D10" s="72">
        <v>60744609.200000003</v>
      </c>
      <c r="E10" s="72">
        <v>9299999.6689999998</v>
      </c>
      <c r="F10" s="72">
        <v>88</v>
      </c>
      <c r="G10" s="64">
        <f t="shared" si="0"/>
        <v>8.7799057855327947E-2</v>
      </c>
      <c r="H10" s="64">
        <f t="shared" si="1"/>
        <v>0.15310000000790192</v>
      </c>
      <c r="I10" s="65">
        <f t="shared" si="2"/>
        <v>323440</v>
      </c>
      <c r="J10" s="65">
        <f t="shared" si="3"/>
        <v>28397.727272727272</v>
      </c>
      <c r="K10" s="66">
        <f t="shared" si="4"/>
        <v>0.46856371906661304</v>
      </c>
      <c r="L10" s="66">
        <f t="shared" si="5"/>
        <v>4.1139453079237193E-2</v>
      </c>
      <c r="M10" s="67">
        <f t="shared" si="6"/>
        <v>690279.65</v>
      </c>
      <c r="N10" s="68">
        <f>(I10-J10)/(M10*'Example Bill'!$B$22)</f>
        <v>1.2643494917752349</v>
      </c>
    </row>
    <row r="11" spans="1:14" ht="16" x14ac:dyDescent="0.2">
      <c r="A11" s="61" t="s">
        <v>64</v>
      </c>
      <c r="B11" s="62">
        <v>15615383</v>
      </c>
      <c r="C11" s="62">
        <v>12718390.08</v>
      </c>
      <c r="D11" s="63">
        <v>7888399.9199999999</v>
      </c>
      <c r="E11" s="63">
        <v>7888399.9199999999</v>
      </c>
      <c r="F11" s="63">
        <v>8136</v>
      </c>
      <c r="G11" s="64">
        <f t="shared" si="0"/>
        <v>1.2277798449157176</v>
      </c>
      <c r="H11" s="64">
        <f t="shared" si="1"/>
        <v>1</v>
      </c>
      <c r="I11" s="65">
        <f t="shared" si="2"/>
        <v>1563.2239528023599</v>
      </c>
      <c r="J11" s="65">
        <f t="shared" si="3"/>
        <v>1919.2948623402162</v>
      </c>
      <c r="K11" s="66">
        <f t="shared" si="4"/>
        <v>1.6122902247582802</v>
      </c>
      <c r="L11" s="66">
        <f t="shared" si="5"/>
        <v>1.9795374421128487</v>
      </c>
      <c r="M11" s="67">
        <f t="shared" si="6"/>
        <v>969.5673451327433</v>
      </c>
      <c r="N11" s="68">
        <f>(I11-J11)/(M11*'Example Bill'!$B$22)</f>
        <v>-1.0863417675772105</v>
      </c>
    </row>
    <row r="12" spans="1:14" ht="16" x14ac:dyDescent="0.2">
      <c r="A12" s="70" t="s">
        <v>65</v>
      </c>
      <c r="B12" s="71">
        <v>6103628</v>
      </c>
      <c r="C12" s="71">
        <v>3493294.72</v>
      </c>
      <c r="D12" s="72">
        <v>5015604</v>
      </c>
      <c r="E12" s="72">
        <v>5015604</v>
      </c>
      <c r="F12" s="72">
        <v>162</v>
      </c>
      <c r="G12" s="64">
        <f t="shared" si="0"/>
        <v>1.7472410687409734</v>
      </c>
      <c r="H12" s="64">
        <f t="shared" si="1"/>
        <v>1</v>
      </c>
      <c r="I12" s="65">
        <f t="shared" si="2"/>
        <v>21563.547654320988</v>
      </c>
      <c r="J12" s="65">
        <f t="shared" si="3"/>
        <v>37676.716049382718</v>
      </c>
      <c r="K12" s="66">
        <f t="shared" si="4"/>
        <v>0.69648535251188093</v>
      </c>
      <c r="L12" s="66">
        <f t="shared" si="5"/>
        <v>1.2169278116852926</v>
      </c>
      <c r="M12" s="67">
        <f t="shared" si="6"/>
        <v>30960.518518518518</v>
      </c>
      <c r="N12" s="68">
        <f>(I12-J12)/(M12*'Example Bill'!$B$22)</f>
        <v>-1.5395035123569503</v>
      </c>
    </row>
    <row r="13" spans="1:14" ht="16" x14ac:dyDescent="0.2">
      <c r="A13" s="70" t="s">
        <v>164</v>
      </c>
      <c r="B13" s="71">
        <v>9511755</v>
      </c>
      <c r="C13" s="71">
        <v>9225095.3599999994</v>
      </c>
      <c r="D13" s="72">
        <v>2872795.92</v>
      </c>
      <c r="E13" s="72">
        <v>2872795.92</v>
      </c>
      <c r="F13" s="72">
        <v>7974</v>
      </c>
      <c r="G13" s="64">
        <f t="shared" si="0"/>
        <v>1.0310738945033517</v>
      </c>
      <c r="H13" s="64">
        <f t="shared" si="1"/>
        <v>1</v>
      </c>
      <c r="I13" s="65">
        <f t="shared" si="2"/>
        <v>1156.8968347128166</v>
      </c>
      <c r="J13" s="65">
        <f t="shared" si="3"/>
        <v>1192.8461249059444</v>
      </c>
      <c r="K13" s="66">
        <f t="shared" si="4"/>
        <v>3.2111906368900716</v>
      </c>
      <c r="L13" s="66">
        <f t="shared" si="5"/>
        <v>3.3109748359709452</v>
      </c>
      <c r="M13" s="67">
        <f t="shared" si="6"/>
        <v>360.27036869826935</v>
      </c>
      <c r="N13" s="68">
        <f>(I13-J13)/(M13*'Example Bill'!$B$22)</f>
        <v>-0.29516831737117033</v>
      </c>
    </row>
    <row r="14" spans="1:14" ht="16" x14ac:dyDescent="0.2">
      <c r="A14" s="61" t="s">
        <v>61</v>
      </c>
      <c r="B14" s="62">
        <v>32484644.18</v>
      </c>
      <c r="C14" s="62">
        <v>63433682</v>
      </c>
      <c r="D14" s="63">
        <v>15744472</v>
      </c>
      <c r="E14" s="63">
        <v>14757273.58</v>
      </c>
      <c r="F14" s="63">
        <v>55860</v>
      </c>
      <c r="G14" s="64">
        <f t="shared" si="0"/>
        <v>0.51210402984332515</v>
      </c>
      <c r="H14" s="64">
        <f t="shared" si="1"/>
        <v>0.93729872808691206</v>
      </c>
      <c r="I14" s="65">
        <f t="shared" si="2"/>
        <v>1135.5832796276404</v>
      </c>
      <c r="J14" s="65">
        <f t="shared" si="3"/>
        <v>581.53677372001437</v>
      </c>
      <c r="K14" s="66">
        <f t="shared" si="4"/>
        <v>4.0289494623890851</v>
      </c>
      <c r="L14" s="66">
        <f t="shared" si="5"/>
        <v>2.0632412557245488</v>
      </c>
      <c r="M14" s="67">
        <f t="shared" si="6"/>
        <v>281.85592552810596</v>
      </c>
      <c r="N14" s="68">
        <f>(I14-J14)/(M14*'Example Bill'!$B$22)</f>
        <v>5.8146960054629178</v>
      </c>
    </row>
    <row r="15" spans="1:14" ht="16" x14ac:dyDescent="0.2">
      <c r="A15" s="70" t="s">
        <v>165</v>
      </c>
      <c r="B15" s="71">
        <v>3557833.72</v>
      </c>
      <c r="C15" s="71">
        <v>9337802</v>
      </c>
      <c r="D15" s="72">
        <v>1148222</v>
      </c>
      <c r="E15" s="72">
        <v>826548.58</v>
      </c>
      <c r="F15" s="72">
        <v>6260</v>
      </c>
      <c r="G15" s="64">
        <f t="shared" si="0"/>
        <v>0.38101404591787236</v>
      </c>
      <c r="H15" s="64">
        <f t="shared" si="1"/>
        <v>0.71985084765837959</v>
      </c>
      <c r="I15" s="65">
        <f t="shared" si="2"/>
        <v>1491.661661341853</v>
      </c>
      <c r="J15" s="65">
        <f t="shared" si="3"/>
        <v>568.34404472843448</v>
      </c>
      <c r="K15" s="66">
        <f t="shared" si="4"/>
        <v>8.1324012255469764</v>
      </c>
      <c r="L15" s="66">
        <f t="shared" si="5"/>
        <v>3.0985590939731167</v>
      </c>
      <c r="M15" s="67">
        <f t="shared" si="6"/>
        <v>183.42204472843451</v>
      </c>
      <c r="N15" s="68">
        <f>(I15-J15)/(M15*'Example Bill'!$B$22)</f>
        <v>14.890440827054382</v>
      </c>
    </row>
    <row r="16" spans="1:14" ht="16" x14ac:dyDescent="0.2">
      <c r="A16" s="70" t="s">
        <v>63</v>
      </c>
      <c r="B16" s="71">
        <v>2785875</v>
      </c>
      <c r="C16" s="71">
        <v>10425000</v>
      </c>
      <c r="D16" s="72">
        <v>6428750</v>
      </c>
      <c r="E16" s="72">
        <v>6171600</v>
      </c>
      <c r="F16" s="72">
        <v>34750</v>
      </c>
      <c r="G16" s="64">
        <f t="shared" si="0"/>
        <v>0.26723021582733814</v>
      </c>
      <c r="H16" s="64">
        <f t="shared" si="1"/>
        <v>0.96</v>
      </c>
      <c r="I16" s="65">
        <f t="shared" si="2"/>
        <v>300</v>
      </c>
      <c r="J16" s="65">
        <f t="shared" si="3"/>
        <v>80.169064748201436</v>
      </c>
      <c r="K16" s="66">
        <f t="shared" si="4"/>
        <v>1.6216216216216217</v>
      </c>
      <c r="L16" s="66">
        <f t="shared" si="5"/>
        <v>0.43334629593622398</v>
      </c>
      <c r="M16" s="67">
        <f t="shared" si="6"/>
        <v>185</v>
      </c>
      <c r="N16" s="68">
        <f>(I16-J16)/(M16*'Example Bill'!$B$22)</f>
        <v>3.5149976818671265</v>
      </c>
    </row>
    <row r="17" spans="1:14" ht="16" x14ac:dyDescent="0.2">
      <c r="A17" s="70" t="s">
        <v>62</v>
      </c>
      <c r="B17" s="71">
        <v>26140935.460000001</v>
      </c>
      <c r="C17" s="71">
        <v>43670880</v>
      </c>
      <c r="D17" s="72">
        <v>8167500</v>
      </c>
      <c r="E17" s="72">
        <v>7759125</v>
      </c>
      <c r="F17" s="72">
        <v>14850</v>
      </c>
      <c r="G17" s="64">
        <f t="shared" si="0"/>
        <v>0.59858961990232396</v>
      </c>
      <c r="H17" s="64">
        <f t="shared" si="1"/>
        <v>0.95</v>
      </c>
      <c r="I17" s="65">
        <f t="shared" si="2"/>
        <v>2940.8</v>
      </c>
      <c r="J17" s="65">
        <f t="shared" si="3"/>
        <v>1760.3323542087542</v>
      </c>
      <c r="K17" s="66">
        <f t="shared" si="4"/>
        <v>5.3469090909090911</v>
      </c>
      <c r="L17" s="66">
        <f t="shared" si="5"/>
        <v>3.2006042803795531</v>
      </c>
      <c r="M17" s="67">
        <f t="shared" si="6"/>
        <v>550</v>
      </c>
      <c r="N17" s="68">
        <f>(I17-J17)/(M17*'Example Bill'!$B$22)</f>
        <v>6.3489128070887597</v>
      </c>
    </row>
    <row r="18" spans="1:14" ht="16" x14ac:dyDescent="0.2">
      <c r="A18" s="73" t="s">
        <v>166</v>
      </c>
      <c r="B18" s="74">
        <v>81994301.549999997</v>
      </c>
      <c r="C18" s="74">
        <v>169600661.80000001</v>
      </c>
      <c r="D18" s="75">
        <v>242805492.09999999</v>
      </c>
      <c r="E18" s="75">
        <v>106677914.2</v>
      </c>
      <c r="F18" s="75">
        <v>69933</v>
      </c>
      <c r="G18" s="64">
        <f t="shared" si="0"/>
        <v>0.48345508018530614</v>
      </c>
      <c r="H18" s="64">
        <f t="shared" si="1"/>
        <v>0.43935544158146334</v>
      </c>
      <c r="I18" s="65">
        <f t="shared" si="2"/>
        <v>2425.1878483691535</v>
      </c>
      <c r="J18" s="65">
        <f t="shared" si="3"/>
        <v>1172.4693856977392</v>
      </c>
      <c r="K18" s="66">
        <f t="shared" si="4"/>
        <v>0.69850422382599808</v>
      </c>
      <c r="L18" s="66">
        <f t="shared" si="5"/>
        <v>0.33769541553957294</v>
      </c>
      <c r="M18" s="67">
        <f t="shared" si="6"/>
        <v>3471.973061358729</v>
      </c>
      <c r="N18" s="68">
        <f>(I18-J18)/(M18*'Example Bill'!$B$22)</f>
        <v>1.0672965240547281</v>
      </c>
    </row>
    <row r="19" spans="1:14" ht="16" x14ac:dyDescent="0.2">
      <c r="H19" s="64"/>
    </row>
    <row r="34" spans="5:9" x14ac:dyDescent="0.2">
      <c r="I34" s="76"/>
    </row>
    <row r="37" spans="5:9" x14ac:dyDescent="0.2">
      <c r="E37" s="77"/>
      <c r="F37" s="78"/>
      <c r="G37" s="79"/>
    </row>
    <row r="38" spans="5:9" x14ac:dyDescent="0.2">
      <c r="E38" s="77"/>
      <c r="F38" s="78"/>
      <c r="G38" s="79"/>
    </row>
    <row r="39" spans="5:9" x14ac:dyDescent="0.2">
      <c r="E39" s="77"/>
      <c r="F39" s="78"/>
      <c r="G39" s="79"/>
    </row>
    <row r="40" spans="5:9" x14ac:dyDescent="0.2">
      <c r="E40" s="77"/>
      <c r="F40" s="78"/>
      <c r="G40" s="79"/>
    </row>
    <row r="41" spans="5:9" x14ac:dyDescent="0.2">
      <c r="E41" s="77"/>
      <c r="F41" s="78"/>
      <c r="G41" s="79"/>
    </row>
    <row r="47" spans="5:9" x14ac:dyDescent="0.2">
      <c r="F47" s="76"/>
    </row>
    <row r="48" spans="5:9" x14ac:dyDescent="0.2">
      <c r="F48" s="7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Rx Projected Increase</vt:lpstr>
      <vt:lpstr>MA Turnkey</vt:lpstr>
      <vt:lpstr>EGI - Savings %</vt:lpstr>
      <vt:lpstr>EGI - Rate Class Volumes</vt:lpstr>
      <vt:lpstr>EGI - Rate Class Sav &amp; Part</vt:lpstr>
      <vt:lpstr>FULL Savings</vt:lpstr>
      <vt:lpstr>FULL Costs</vt:lpstr>
      <vt:lpstr>Example Bill</vt:lpstr>
      <vt:lpstr>GEC.7_Summary</vt:lpstr>
      <vt:lpstr>Potential Study</vt:lpstr>
      <vt:lpstr>GEC.7_PIVOT</vt:lpstr>
      <vt:lpstr>GEC.7</vt:lpstr>
      <vt:lpstr>GEC.7 Notes</vt:lpstr>
      <vt:lpstr>MA - MassSave</vt:lpstr>
      <vt:lpstr>'EGI - Rate Class Sav &amp; Part'!Print_Area</vt:lpstr>
      <vt:lpstr>GEC.7!Print_Area</vt:lpstr>
      <vt:lpstr>'EGI - Rate Class Sav &amp; Part'!Print_Titles</vt:lpstr>
      <vt:lpstr>GEC.7!Print_Titles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2021-11-22T15:54:49Z</dcterms:created>
  <dcterms:modified xsi:type="dcterms:W3CDTF">2022-03-17T20:00:58Z</dcterms:modified>
</cp:coreProperties>
</file>