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Program Files (x86)\Caseware\Data\Sync\Coopérative Hydro Embrun - Variances 2021 (Sync)\"/>
    </mc:Choice>
  </mc:AlternateContent>
  <xr:revisionPtr revIDLastSave="0" documentId="13_ncr:1_{0209FD5A-C8DE-43FA-9D9D-234A8D954D42}" xr6:coauthVersionLast="46" xr6:coauthVersionMax="47" xr10:uidLastSave="{00000000-0000-0000-0000-000000000000}"/>
  <bookViews>
    <workbookView xWindow="-108" yWindow="-108" windowWidth="23256" windowHeight="12720" xr2:uid="{F94F1FF7-B526-4E59-BB6B-6A6672B2145C}"/>
  </bookViews>
  <sheets>
    <sheet name="Summary" sheetId="4" r:id="rId1"/>
    <sheet name="2021" sheetId="5" r:id="rId2"/>
    <sheet name="2020" sheetId="3" r:id="rId3"/>
    <sheet name="2019" sheetId="1" r:id="rId4"/>
    <sheet name="2018"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 r="I6" i="4"/>
  <c r="I9" i="4"/>
  <c r="I8" i="4"/>
  <c r="I7" i="4"/>
  <c r="H8" i="4"/>
  <c r="H9" i="4"/>
  <c r="H7" i="4"/>
  <c r="E7" i="4"/>
  <c r="E8" i="4"/>
  <c r="E9" i="4"/>
  <c r="E6" i="4"/>
  <c r="D7" i="4"/>
  <c r="C7" i="4"/>
  <c r="D6" i="4"/>
  <c r="C6" i="4"/>
  <c r="F8" i="1"/>
  <c r="E8" i="1"/>
  <c r="G21" i="4"/>
  <c r="J7" i="4" l="1"/>
  <c r="G20" i="4"/>
  <c r="G19" i="4"/>
  <c r="J19" i="4" s="1"/>
  <c r="F23" i="4"/>
  <c r="D22" i="4"/>
  <c r="D23" i="4" s="1"/>
  <c r="J21" i="4"/>
  <c r="J20" i="4"/>
  <c r="J8" i="4"/>
  <c r="D9" i="4"/>
  <c r="C9" i="4"/>
  <c r="F13" i="5"/>
  <c r="E13" i="5"/>
  <c r="F12" i="5"/>
  <c r="E12" i="5"/>
  <c r="D13" i="5"/>
  <c r="J22" i="4" l="1"/>
  <c r="G22" i="4"/>
  <c r="G23" i="4" s="1"/>
  <c r="J23" i="4"/>
  <c r="H10" i="4"/>
  <c r="I10" i="4"/>
  <c r="G12" i="5"/>
  <c r="J9" i="4" l="1"/>
  <c r="J10" i="4" s="1"/>
  <c r="J25" i="4" s="1"/>
  <c r="J27" i="4" s="1"/>
  <c r="A2" i="2"/>
  <c r="A1" i="2"/>
  <c r="A2" i="1"/>
  <c r="A1" i="1"/>
  <c r="A2" i="3"/>
  <c r="A1" i="3"/>
  <c r="A2" i="5"/>
  <c r="A1" i="5"/>
  <c r="D20" i="5"/>
  <c r="D21" i="5"/>
  <c r="F36" i="3"/>
  <c r="F37" i="3"/>
  <c r="F38" i="3"/>
  <c r="F35" i="3"/>
  <c r="G35" i="3" s="1"/>
  <c r="E36" i="3"/>
  <c r="E37" i="3"/>
  <c r="E38" i="3"/>
  <c r="E35" i="3"/>
  <c r="E34" i="3"/>
  <c r="D35" i="3"/>
  <c r="D36" i="3"/>
  <c r="D37" i="3"/>
  <c r="D38" i="3"/>
  <c r="D34" i="3"/>
  <c r="D39" i="3"/>
  <c r="F37" i="1"/>
  <c r="F38" i="1"/>
  <c r="F39" i="1"/>
  <c r="F36" i="1"/>
  <c r="E37" i="1"/>
  <c r="E38" i="1"/>
  <c r="E39" i="1"/>
  <c r="E36" i="1"/>
  <c r="D37" i="1"/>
  <c r="D38" i="1"/>
  <c r="D39" i="1"/>
  <c r="D36" i="1"/>
  <c r="D27" i="1"/>
  <c r="G38" i="1"/>
  <c r="D35" i="1"/>
  <c r="F11" i="5"/>
  <c r="E11" i="5"/>
  <c r="F10" i="5"/>
  <c r="E10" i="5"/>
  <c r="G10" i="5" s="1"/>
  <c r="F9" i="5"/>
  <c r="E9" i="5"/>
  <c r="G9" i="5" s="1"/>
  <c r="F8" i="5"/>
  <c r="E8" i="5"/>
  <c r="F7" i="5"/>
  <c r="G7" i="5" s="1"/>
  <c r="E7" i="5"/>
  <c r="G8" i="5" l="1"/>
  <c r="D16" i="5"/>
  <c r="G11" i="5"/>
  <c r="G38" i="3"/>
  <c r="G36" i="3"/>
  <c r="G37" i="3"/>
  <c r="E39" i="3"/>
  <c r="F39" i="3"/>
  <c r="G37" i="1"/>
  <c r="G39" i="1"/>
  <c r="G36" i="1"/>
  <c r="D40" i="1"/>
  <c r="F40" i="1"/>
  <c r="E35" i="1"/>
  <c r="E40" i="1" s="1"/>
  <c r="G13" i="5"/>
  <c r="D17" i="5"/>
  <c r="D18" i="5" s="1"/>
  <c r="D22" i="5" s="1"/>
  <c r="D24" i="5" s="1"/>
  <c r="E30" i="1"/>
  <c r="E28" i="1"/>
  <c r="F28" i="1"/>
  <c r="D19" i="3"/>
  <c r="G31" i="1"/>
  <c r="G28" i="1"/>
  <c r="G29" i="1"/>
  <c r="G30" i="1"/>
  <c r="G27" i="1"/>
  <c r="F31" i="1"/>
  <c r="F30" i="1"/>
  <c r="F29" i="1"/>
  <c r="F27" i="1"/>
  <c r="E29" i="1"/>
  <c r="E27" i="1"/>
  <c r="E11" i="2"/>
  <c r="G11" i="2" s="1"/>
  <c r="E10" i="2"/>
  <c r="G10" i="2" s="1"/>
  <c r="E8" i="2"/>
  <c r="D12" i="2"/>
  <c r="F11" i="2"/>
  <c r="F10" i="2"/>
  <c r="F9" i="2"/>
  <c r="E9" i="2"/>
  <c r="F8" i="2"/>
  <c r="F7" i="2"/>
  <c r="E7" i="2"/>
  <c r="G7" i="2" s="1"/>
  <c r="F7" i="3"/>
  <c r="G39" i="3" l="1"/>
  <c r="G40" i="1"/>
  <c r="G9" i="2"/>
  <c r="F12" i="2"/>
  <c r="E12" i="2"/>
  <c r="G8" i="2"/>
  <c r="G12" i="2" s="1"/>
  <c r="D12" i="3"/>
  <c r="F11" i="3"/>
  <c r="E11" i="3"/>
  <c r="F10" i="3"/>
  <c r="E10" i="3"/>
  <c r="F9" i="3"/>
  <c r="E9" i="3"/>
  <c r="F8" i="3"/>
  <c r="E8" i="3"/>
  <c r="E7" i="3"/>
  <c r="G7" i="3" s="1"/>
  <c r="G11" i="3" l="1"/>
  <c r="G10" i="3"/>
  <c r="G9" i="3"/>
  <c r="F12" i="3"/>
  <c r="D16" i="3" s="1"/>
  <c r="G8" i="3"/>
  <c r="E12" i="3"/>
  <c r="D15" i="3" s="1"/>
  <c r="D17" i="3" l="1"/>
  <c r="D20" i="3" s="1"/>
  <c r="D22" i="3" s="1"/>
  <c r="G12" i="3"/>
  <c r="D15" i="2"/>
  <c r="F11" i="1"/>
  <c r="F10" i="1"/>
  <c r="F9" i="1"/>
  <c r="F7" i="1"/>
  <c r="E11" i="1"/>
  <c r="E10" i="1"/>
  <c r="G10" i="1" s="1"/>
  <c r="D29" i="1" s="1"/>
  <c r="E9" i="1"/>
  <c r="E7" i="1"/>
  <c r="D12" i="1"/>
  <c r="G11" i="1" l="1"/>
  <c r="D30" i="1" s="1"/>
  <c r="E12" i="1"/>
  <c r="D15" i="1" s="1"/>
  <c r="F12" i="1"/>
  <c r="D16" i="1" s="1"/>
  <c r="G8" i="1"/>
  <c r="G7" i="1"/>
  <c r="D26" i="1" s="1"/>
  <c r="G9" i="1"/>
  <c r="D16" i="2" l="1"/>
  <c r="D17" i="2" s="1"/>
  <c r="E26" i="1"/>
  <c r="G12" i="1"/>
  <c r="D28" i="1"/>
  <c r="D17" i="1"/>
  <c r="D19" i="1" s="1"/>
  <c r="D22" i="1" l="1"/>
  <c r="D19" i="2"/>
  <c r="D31" i="1"/>
  <c r="E31" i="1"/>
</calcChain>
</file>

<file path=xl/sharedStrings.xml><?xml version="1.0" encoding="utf-8"?>
<sst xmlns="http://schemas.openxmlformats.org/spreadsheetml/2006/main" count="118" uniqueCount="51">
  <si>
    <t>December 31, 2019</t>
  </si>
  <si>
    <t>Class</t>
  </si>
  <si>
    <t>CCA rate</t>
  </si>
  <si>
    <t>CCA claimed per T2</t>
  </si>
  <si>
    <t>CCA claim (No AII)</t>
  </si>
  <si>
    <t>Difference</t>
  </si>
  <si>
    <t>Tax on Difference:</t>
  </si>
  <si>
    <t>CCA Claim per T2</t>
  </si>
  <si>
    <t>CCA Claim (no AII)</t>
  </si>
  <si>
    <t>Tax Rate</t>
  </si>
  <si>
    <t>December 31, 2018</t>
  </si>
  <si>
    <t>CCA Calculations - AII</t>
  </si>
  <si>
    <t>AII Additions</t>
  </si>
  <si>
    <t>Total</t>
  </si>
  <si>
    <t>Impact on 2019</t>
  </si>
  <si>
    <t>Impact on 2020</t>
  </si>
  <si>
    <t>Guidance Received from Industry Relations at OEB to support BT02</t>
  </si>
  <si>
    <t xml:space="preserve">"With respect to the 1592 CCA sub-account, the debit entry would be to distribution revenue accounts 4080 - subdivided by applicable customer classes. The purpose of the 1592 entry is to recognize that amounts being reflected in rates are inflated relative to the actual taxes payable of an entity (for reasons of legislated tax changes). Any impacts between deferred and current tax assets/liabilities are recognized only for external reporting purposes, as the OEB does not consider deferred taxes in its PILs calculations.
</t>
  </si>
  <si>
    <t>December 31, 2020</t>
  </si>
  <si>
    <t>2019 Difference</t>
  </si>
  <si>
    <t>2019 Tab Impact on 2020</t>
  </si>
  <si>
    <t>Year</t>
  </si>
  <si>
    <t>Federal Tax (%)</t>
  </si>
  <si>
    <t>Provincial Tax (%)</t>
  </si>
  <si>
    <t>Coopérative Hydro Embrun Inc.</t>
  </si>
  <si>
    <t>Claimed in 2020</t>
  </si>
  <si>
    <t>What should of been claimed (No AII)</t>
  </si>
  <si>
    <t>***None since no AII taken in 2018***</t>
  </si>
  <si>
    <t>CCA claimed per T2 (including impacts from P/Ys)</t>
  </si>
  <si>
    <t>CCA to be claimed (with no AII)</t>
  </si>
  <si>
    <t>Impact on Income Taxes (grossed up)</t>
  </si>
  <si>
    <t>Impact on Tax Provision (12.2%)</t>
  </si>
  <si>
    <t>Impact on Future Income Taxes (net of 14.3%)</t>
  </si>
  <si>
    <t>This amount is reflected in account 1592</t>
  </si>
  <si>
    <t>Impact on 2021</t>
  </si>
  <si>
    <t>2020 Difference</t>
  </si>
  <si>
    <t>2020 Tab Impact on 2021</t>
  </si>
  <si>
    <t>2019 Tab Impact on 2021</t>
  </si>
  <si>
    <t>December 31, 2021</t>
  </si>
  <si>
    <t>ACCELERATED CCA (Cumulative impacts since implementation)</t>
  </si>
  <si>
    <t>PILS And Tax Variance</t>
  </si>
  <si>
    <t>Unamortized Value - Accounting</t>
  </si>
  <si>
    <t>Unamortized Value - Tax basis</t>
  </si>
  <si>
    <t>Tangible Capital Assets</t>
  </si>
  <si>
    <t>For the year ended December 31, 2021</t>
  </si>
  <si>
    <t>Rebassing Costs</t>
  </si>
  <si>
    <t>Other differences</t>
  </si>
  <si>
    <t>Grossed up Difference</t>
  </si>
  <si>
    <t xml:space="preserve">Less Variance accounted for above included in the total calculated. </t>
  </si>
  <si>
    <t>Impacts with Accelerated CCA</t>
  </si>
  <si>
    <t>Impacts without accelerated CCA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</si>
</sst>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14">
    <font>
      <sz val="11"/>
      <color theme="1"/>
      <name val="Calibri"/>
      <family val="2"/>
      <scheme val="minor"/>
    </font>
    <font>
      <b/>
      <sz val="11"/>
      <color theme="1"/>
      <name val="Calibri"/>
      <family val="2"/>
      <scheme val="minor"/>
    </font>
    <font>
      <u/>
      <sz val="11"/>
      <color theme="1"/>
      <name val="Calibri"/>
      <family val="2"/>
      <scheme val="minor"/>
    </font>
    <font>
      <b/>
      <i/>
      <sz val="11"/>
      <color rgb="FF0070C0"/>
      <name val="Calibri"/>
      <family val="2"/>
      <scheme val="minor"/>
    </font>
    <font>
      <sz val="11"/>
      <color theme="1"/>
      <name val="Calibri"/>
      <family val="2"/>
      <scheme val="minor"/>
    </font>
    <font>
      <b/>
      <sz val="11"/>
      <color rgb="FFFF0000"/>
      <name val="Calibri"/>
      <family val="2"/>
      <scheme val="minor"/>
    </font>
    <font>
      <b/>
      <i/>
      <sz val="11"/>
      <color theme="1"/>
      <name val="Calibri"/>
      <family val="2"/>
      <scheme val="minor"/>
    </font>
    <font>
      <b/>
      <sz val="11"/>
      <color rgb="FF0070C0"/>
      <name val="Calibri"/>
      <family val="2"/>
      <scheme val="minor"/>
    </font>
    <font>
      <sz val="8"/>
      <name val="Calibri"/>
      <family val="2"/>
      <scheme val="minor"/>
    </font>
    <font>
      <b/>
      <u/>
      <sz val="11"/>
      <color theme="1"/>
      <name val="Calibri"/>
      <family val="2"/>
      <scheme val="minor"/>
    </font>
    <font>
      <sz val="11"/>
      <color theme="1"/>
      <name val="Effra-Regular"/>
    </font>
    <font>
      <b/>
      <sz val="11"/>
      <color theme="1"/>
      <name val="Effra-Regular"/>
    </font>
    <font>
      <i/>
      <sz val="11"/>
      <color theme="1"/>
      <name val="Calibri"/>
      <family val="2"/>
      <scheme val="minor"/>
    </font>
    <font>
      <i/>
      <sz val="11"/>
      <color theme="1"/>
      <name val="Effra-Regular"/>
    </font>
  </fonts>
  <fills count="9">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8A0F8"/>
        <bgColor indexed="64"/>
      </patternFill>
    </fill>
    <fill>
      <patternFill patternType="solid">
        <fgColor rgb="FF00B0F0"/>
        <bgColor indexed="64"/>
      </patternFill>
    </fill>
    <fill>
      <patternFill patternType="solid">
        <fgColor rgb="FFFFFF99"/>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43" fontId="4" fillId="0" borderId="0" applyFont="0" applyFill="0" applyBorder="0" applyAlignment="0" applyProtection="0"/>
  </cellStyleXfs>
  <cellXfs count="79">
    <xf numFmtId="0" fontId="0" fillId="0" borderId="0" xfId="0"/>
    <xf numFmtId="0" fontId="1" fillId="0" borderId="0" xfId="0" applyFont="1"/>
    <xf numFmtId="0" fontId="1" fillId="0" borderId="0" xfId="0" quotePrefix="1" applyFont="1"/>
    <xf numFmtId="9" fontId="0" fillId="0" borderId="0" xfId="0" applyNumberFormat="1"/>
    <xf numFmtId="0" fontId="1" fillId="0" borderId="1" xfId="0" applyFont="1" applyBorder="1" applyAlignment="1">
      <alignment horizontal="center"/>
    </xf>
    <xf numFmtId="0" fontId="0" fillId="0" borderId="1" xfId="0" applyBorder="1"/>
    <xf numFmtId="9" fontId="0" fillId="0" borderId="1" xfId="0" applyNumberFormat="1" applyBorder="1"/>
    <xf numFmtId="41" fontId="0" fillId="0" borderId="0" xfId="0" applyNumberFormat="1"/>
    <xf numFmtId="41" fontId="0" fillId="0" borderId="1" xfId="0" applyNumberFormat="1" applyBorder="1"/>
    <xf numFmtId="10" fontId="0" fillId="0" borderId="1" xfId="0" applyNumberFormat="1" applyBorder="1"/>
    <xf numFmtId="42" fontId="0" fillId="0" borderId="0" xfId="0" applyNumberFormat="1"/>
    <xf numFmtId="44" fontId="0" fillId="0" borderId="2" xfId="0" applyNumberFormat="1" applyBorder="1"/>
    <xf numFmtId="0" fontId="2" fillId="0" borderId="0" xfId="0" applyFont="1"/>
    <xf numFmtId="0" fontId="3" fillId="0" borderId="0" xfId="0" applyFont="1"/>
    <xf numFmtId="0" fontId="5" fillId="0" borderId="0" xfId="0" applyFont="1"/>
    <xf numFmtId="0" fontId="5" fillId="0" borderId="0" xfId="0" applyFont="1" applyAlignment="1">
      <alignment horizontal="center"/>
    </xf>
    <xf numFmtId="164" fontId="0" fillId="0" borderId="0" xfId="1" applyNumberFormat="1" applyFont="1"/>
    <xf numFmtId="0" fontId="1" fillId="0" borderId="0" xfId="0" applyFont="1" applyFill="1" applyBorder="1" applyAlignment="1">
      <alignment horizontal="center"/>
    </xf>
    <xf numFmtId="44" fontId="0" fillId="0" borderId="0" xfId="0" applyNumberFormat="1"/>
    <xf numFmtId="43" fontId="0" fillId="0" borderId="0" xfId="0" applyNumberFormat="1"/>
    <xf numFmtId="43" fontId="0" fillId="0" borderId="1" xfId="0" applyNumberFormat="1" applyBorder="1"/>
    <xf numFmtId="0" fontId="6" fillId="0" borderId="0" xfId="0" applyFont="1"/>
    <xf numFmtId="41" fontId="0" fillId="0" borderId="0" xfId="0" applyNumberFormat="1" applyFill="1"/>
    <xf numFmtId="0" fontId="7" fillId="0" borderId="0" xfId="0" applyFont="1" applyAlignment="1">
      <alignment horizontal="center"/>
    </xf>
    <xf numFmtId="41" fontId="0" fillId="0" borderId="1" xfId="0" applyNumberFormat="1" applyFill="1" applyBorder="1"/>
    <xf numFmtId="44" fontId="0" fillId="0" borderId="1" xfId="0" applyNumberFormat="1" applyBorder="1"/>
    <xf numFmtId="44" fontId="1" fillId="0" borderId="2" xfId="0" applyNumberFormat="1" applyFont="1" applyBorder="1"/>
    <xf numFmtId="0" fontId="9" fillId="0" borderId="0" xfId="0" applyFont="1"/>
    <xf numFmtId="0" fontId="10" fillId="0" borderId="0" xfId="0" applyFont="1"/>
    <xf numFmtId="0" fontId="10" fillId="0" borderId="0" xfId="0" applyFont="1" applyAlignment="1">
      <alignment horizontal="left"/>
    </xf>
    <xf numFmtId="0" fontId="0" fillId="0" borderId="0" xfId="0" applyAlignment="1">
      <alignment horizontal="center"/>
    </xf>
    <xf numFmtId="9" fontId="0" fillId="0" borderId="0" xfId="0" applyNumberFormat="1" applyAlignment="1">
      <alignment horizontal="center"/>
    </xf>
    <xf numFmtId="41" fontId="0" fillId="0" borderId="0" xfId="0" applyNumberForma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41" fontId="0" fillId="0" borderId="1" xfId="0" applyNumberFormat="1" applyBorder="1" applyAlignment="1">
      <alignment horizontal="center"/>
    </xf>
    <xf numFmtId="0" fontId="1" fillId="0" borderId="1" xfId="0" applyFont="1" applyBorder="1" applyAlignment="1">
      <alignment horizontal="center" wrapText="1"/>
    </xf>
    <xf numFmtId="41" fontId="0" fillId="0" borderId="3" xfId="0" applyNumberFormat="1" applyBorder="1"/>
    <xf numFmtId="44" fontId="0" fillId="0" borderId="0" xfId="0" applyNumberFormat="1" applyBorder="1"/>
    <xf numFmtId="0" fontId="0" fillId="0" borderId="0" xfId="0" applyBorder="1"/>
    <xf numFmtId="10" fontId="0" fillId="0" borderId="0" xfId="0" applyNumberFormat="1" applyBorder="1"/>
    <xf numFmtId="0" fontId="12" fillId="0" borderId="0" xfId="0" applyFont="1"/>
    <xf numFmtId="0" fontId="0" fillId="0" borderId="0" xfId="0"/>
    <xf numFmtId="3" fontId="10" fillId="0" borderId="0" xfId="0" applyNumberFormat="1" applyFont="1"/>
    <xf numFmtId="9" fontId="0" fillId="0" borderId="0" xfId="0" applyNumberFormat="1" applyBorder="1"/>
    <xf numFmtId="41" fontId="0" fillId="0" borderId="0" xfId="0" applyNumberFormat="1" applyFill="1" applyBorder="1"/>
    <xf numFmtId="0" fontId="0" fillId="0" borderId="1" xfId="0" applyFill="1" applyBorder="1"/>
    <xf numFmtId="0" fontId="11" fillId="3" borderId="0" xfId="0" applyFont="1" applyFill="1"/>
    <xf numFmtId="0" fontId="10" fillId="3" borderId="0" xfId="0" applyFont="1" applyFill="1" applyAlignment="1">
      <alignment horizontal="left"/>
    </xf>
    <xf numFmtId="0" fontId="10" fillId="3" borderId="0" xfId="0" applyFont="1" applyFill="1"/>
    <xf numFmtId="0" fontId="13" fillId="0" borderId="0" xfId="0" applyFont="1" applyAlignment="1">
      <alignment vertical="top" wrapText="1"/>
    </xf>
    <xf numFmtId="0" fontId="11" fillId="3" borderId="0" xfId="0" applyFont="1" applyFill="1" applyAlignment="1">
      <alignment horizontal="left"/>
    </xf>
    <xf numFmtId="0" fontId="10" fillId="0" borderId="0" xfId="0" applyFont="1" applyAlignment="1">
      <alignment horizontal="right"/>
    </xf>
    <xf numFmtId="164" fontId="10" fillId="0" borderId="0" xfId="1" applyNumberFormat="1" applyFont="1"/>
    <xf numFmtId="164" fontId="11" fillId="4" borderId="2" xfId="1" applyNumberFormat="1" applyFont="1" applyFill="1" applyBorder="1"/>
    <xf numFmtId="0" fontId="11" fillId="2" borderId="5" xfId="0" applyFont="1" applyFill="1" applyBorder="1" applyAlignment="1">
      <alignment horizontal="center" wrapText="1"/>
    </xf>
    <xf numFmtId="0" fontId="10" fillId="0" borderId="0" xfId="0" applyFont="1" applyBorder="1"/>
    <xf numFmtId="3" fontId="10" fillId="0" borderId="0" xfId="0" applyNumberFormat="1" applyFont="1" applyBorder="1" applyAlignment="1">
      <alignment horizontal="center"/>
    </xf>
    <xf numFmtId="164" fontId="10" fillId="0" borderId="0" xfId="1" applyNumberFormat="1" applyFont="1" applyBorder="1" applyAlignment="1">
      <alignment horizontal="center"/>
    </xf>
    <xf numFmtId="0" fontId="10" fillId="0" borderId="0" xfId="0" applyFont="1" applyBorder="1" applyAlignment="1">
      <alignment horizontal="left"/>
    </xf>
    <xf numFmtId="0" fontId="11" fillId="0" borderId="0" xfId="0" applyFont="1" applyBorder="1" applyAlignment="1">
      <alignment horizontal="left"/>
    </xf>
    <xf numFmtId="164" fontId="11" fillId="0" borderId="3" xfId="1" applyNumberFormat="1" applyFont="1" applyBorder="1" applyAlignment="1">
      <alignment horizontal="center"/>
    </xf>
    <xf numFmtId="0" fontId="11" fillId="2" borderId="5" xfId="0" applyFont="1" applyFill="1" applyBorder="1" applyAlignment="1">
      <alignment horizontal="left" wrapText="1"/>
    </xf>
    <xf numFmtId="10" fontId="10" fillId="0" borderId="0" xfId="0" applyNumberFormat="1" applyFont="1" applyBorder="1" applyAlignment="1">
      <alignment horizontal="center"/>
    </xf>
    <xf numFmtId="3" fontId="11" fillId="0" borderId="2" xfId="0" applyNumberFormat="1" applyFont="1" applyBorder="1" applyAlignment="1">
      <alignment horizontal="center"/>
    </xf>
    <xf numFmtId="10" fontId="11" fillId="0" borderId="2" xfId="0" applyNumberFormat="1" applyFont="1" applyBorder="1" applyAlignment="1">
      <alignment horizontal="center"/>
    </xf>
    <xf numFmtId="164" fontId="11" fillId="4" borderId="2" xfId="1" applyNumberFormat="1" applyFont="1" applyFill="1" applyBorder="1" applyAlignment="1">
      <alignment horizontal="center"/>
    </xf>
    <xf numFmtId="0" fontId="13" fillId="0" borderId="0" xfId="0" applyFont="1" applyAlignment="1">
      <alignment horizontal="center" vertical="top" wrapText="1"/>
    </xf>
    <xf numFmtId="0" fontId="11" fillId="2" borderId="4" xfId="0" applyFont="1" applyFill="1" applyBorder="1" applyAlignment="1">
      <alignment horizontal="center" wrapText="1"/>
    </xf>
    <xf numFmtId="0" fontId="11" fillId="2" borderId="0" xfId="0" applyFont="1" applyFill="1" applyBorder="1" applyAlignment="1">
      <alignment horizontal="center" wrapText="1"/>
    </xf>
    <xf numFmtId="0" fontId="0" fillId="0" borderId="0" xfId="0" applyAlignment="1">
      <alignment horizontal="left" vertical="top" wrapText="1"/>
    </xf>
    <xf numFmtId="41" fontId="0" fillId="5" borderId="0" xfId="0" applyNumberFormat="1" applyFill="1"/>
    <xf numFmtId="3" fontId="10" fillId="5" borderId="0" xfId="0" applyNumberFormat="1" applyFont="1" applyFill="1" applyBorder="1" applyAlignment="1">
      <alignment horizontal="center"/>
    </xf>
    <xf numFmtId="3" fontId="10" fillId="6" borderId="0" xfId="0" applyNumberFormat="1" applyFont="1" applyFill="1" applyBorder="1" applyAlignment="1">
      <alignment horizontal="center"/>
    </xf>
    <xf numFmtId="41" fontId="0" fillId="6" borderId="0" xfId="0" applyNumberFormat="1" applyFill="1" applyAlignment="1">
      <alignment horizontal="center"/>
    </xf>
    <xf numFmtId="41" fontId="0" fillId="7" borderId="0" xfId="0" applyNumberFormat="1" applyFill="1"/>
    <xf numFmtId="3" fontId="10" fillId="7" borderId="0" xfId="0" applyNumberFormat="1" applyFont="1" applyFill="1" applyBorder="1" applyAlignment="1">
      <alignment horizontal="center"/>
    </xf>
    <xf numFmtId="41" fontId="0" fillId="8" borderId="0" xfId="0" applyNumberFormat="1" applyFill="1"/>
    <xf numFmtId="3" fontId="10" fillId="0" borderId="0"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FFFF99"/>
      <color rgb="FFF8A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26E0-37DC-4425-8976-ECE6FD25E823}">
  <dimension ref="A1:J28"/>
  <sheetViews>
    <sheetView tabSelected="1" workbookViewId="0">
      <selection activeCell="D12" sqref="C12:D12"/>
    </sheetView>
  </sheetViews>
  <sheetFormatPr defaultColWidth="9.109375" defaultRowHeight="13.8"/>
  <cols>
    <col min="1" max="1" width="9.109375" style="28"/>
    <col min="2" max="2" width="9.109375" style="29"/>
    <col min="3" max="3" width="18.109375" style="28" customWidth="1"/>
    <col min="4" max="4" width="17" style="28" bestFit="1" customWidth="1"/>
    <col min="5" max="5" width="12.21875" style="28" bestFit="1" customWidth="1"/>
    <col min="6" max="6" width="19.5546875" style="28" bestFit="1" customWidth="1"/>
    <col min="7" max="7" width="15.88671875" style="28" customWidth="1"/>
    <col min="8" max="8" width="12.21875" style="28" customWidth="1"/>
    <col min="9" max="9" width="12.5546875" style="28" bestFit="1" customWidth="1"/>
    <col min="10" max="10" width="21" style="28" customWidth="1"/>
    <col min="11" max="16384" width="9.109375" style="28"/>
  </cols>
  <sheetData>
    <row r="1" spans="1:10" ht="14.4">
      <c r="A1" s="1" t="s">
        <v>24</v>
      </c>
    </row>
    <row r="2" spans="1:10" ht="14.4">
      <c r="A2" s="1" t="s">
        <v>11</v>
      </c>
    </row>
    <row r="4" spans="1:10">
      <c r="A4" s="47" t="s">
        <v>39</v>
      </c>
      <c r="B4" s="48"/>
      <c r="C4" s="49"/>
      <c r="D4" s="49"/>
      <c r="E4" s="49"/>
      <c r="F4" s="49"/>
      <c r="G4" s="49"/>
      <c r="H4" s="49"/>
      <c r="I4" s="49"/>
      <c r="J4" s="49"/>
    </row>
    <row r="5" spans="1:10" ht="69">
      <c r="B5" s="62" t="s">
        <v>21</v>
      </c>
      <c r="C5" s="55" t="s">
        <v>28</v>
      </c>
      <c r="D5" s="55" t="s">
        <v>29</v>
      </c>
      <c r="E5" s="55" t="s">
        <v>47</v>
      </c>
      <c r="F5" s="55" t="s">
        <v>22</v>
      </c>
      <c r="G5" s="55" t="s">
        <v>23</v>
      </c>
      <c r="H5" s="55" t="s">
        <v>30</v>
      </c>
      <c r="I5" s="55" t="s">
        <v>31</v>
      </c>
      <c r="J5" s="55" t="s">
        <v>32</v>
      </c>
    </row>
    <row r="6" spans="1:10">
      <c r="B6" s="59">
        <v>2018</v>
      </c>
      <c r="C6" s="72">
        <f>+'2018'!E12</f>
        <v>3775.66</v>
      </c>
      <c r="D6" s="72">
        <f>+'2018'!F12</f>
        <v>3775.66</v>
      </c>
      <c r="E6" s="78">
        <f>+C6-D6</f>
        <v>0</v>
      </c>
      <c r="F6" s="63">
        <v>0.15</v>
      </c>
      <c r="G6" s="63">
        <v>0.115</v>
      </c>
      <c r="H6" s="57">
        <f>-(C6-D6)*(F6+G6)</f>
        <v>0</v>
      </c>
      <c r="I6" s="57">
        <f>-(C6-D6)*0.122</f>
        <v>0</v>
      </c>
      <c r="J6" s="58">
        <v>0</v>
      </c>
    </row>
    <row r="7" spans="1:10">
      <c r="B7" s="59">
        <v>2019</v>
      </c>
      <c r="C7" s="73">
        <f>+'2019'!E12</f>
        <v>28774.289999999997</v>
      </c>
      <c r="D7" s="73">
        <f>+'2019'!F12</f>
        <v>10089.43</v>
      </c>
      <c r="E7" s="78">
        <f t="shared" ref="E7:E9" si="0">+C7-D7</f>
        <v>18684.859999999997</v>
      </c>
      <c r="F7" s="63">
        <v>0.15</v>
      </c>
      <c r="G7" s="63">
        <v>0.115</v>
      </c>
      <c r="H7" s="57">
        <f>-(C7-D7)*(F7+G7)</f>
        <v>-4951.4878999999992</v>
      </c>
      <c r="I7" s="57">
        <f>-(C7-D7)*0.122</f>
        <v>-2279.5529199999996</v>
      </c>
      <c r="J7" s="58">
        <f>+H7-I7</f>
        <v>-2671.9349799999995</v>
      </c>
    </row>
    <row r="8" spans="1:10">
      <c r="B8" s="59">
        <v>2020</v>
      </c>
      <c r="C8" s="76">
        <v>25880.543300000001</v>
      </c>
      <c r="D8" s="76">
        <v>21581.421100000003</v>
      </c>
      <c r="E8" s="78">
        <f t="shared" si="0"/>
        <v>4299.122199999998</v>
      </c>
      <c r="F8" s="63">
        <v>0.15</v>
      </c>
      <c r="G8" s="63">
        <v>0.115</v>
      </c>
      <c r="H8" s="57">
        <f t="shared" ref="H8:H9" si="1">-(C8-D8)*(F8+G8)</f>
        <v>-1139.2673829999994</v>
      </c>
      <c r="I8" s="57">
        <f>-(C8-D8)*0.122</f>
        <v>-524.49290839999969</v>
      </c>
      <c r="J8" s="58">
        <f t="shared" ref="J8:J9" si="2">+H8-I8</f>
        <v>-614.77447459999973</v>
      </c>
    </row>
    <row r="9" spans="1:10">
      <c r="B9" s="59">
        <v>2021</v>
      </c>
      <c r="C9" s="57">
        <f>+'2021'!E13+'2020'!E39+'2019'!E40</f>
        <v>74168.466861000008</v>
      </c>
      <c r="D9" s="57">
        <f>+'2021'!F13+'2020'!F39+'2019'!F40</f>
        <v>64115.477086999999</v>
      </c>
      <c r="E9" s="78">
        <f t="shared" si="0"/>
        <v>10052.989774000009</v>
      </c>
      <c r="F9" s="63">
        <v>0.15</v>
      </c>
      <c r="G9" s="63">
        <v>0.115</v>
      </c>
      <c r="H9" s="57">
        <f t="shared" si="1"/>
        <v>-2664.0422901100023</v>
      </c>
      <c r="I9" s="57">
        <f>-(C9-D9)*0.122</f>
        <v>-1226.464752428001</v>
      </c>
      <c r="J9" s="58">
        <f t="shared" si="2"/>
        <v>-1437.5775376820013</v>
      </c>
    </row>
    <row r="10" spans="1:10" ht="14.4" thickBot="1">
      <c r="B10" s="60" t="s">
        <v>13</v>
      </c>
      <c r="C10" s="64">
        <v>58430.493300000002</v>
      </c>
      <c r="D10" s="64"/>
      <c r="E10" s="64"/>
      <c r="F10" s="65"/>
      <c r="G10" s="65"/>
      <c r="H10" s="64">
        <f>+H6+H7+H8+H9</f>
        <v>-8754.7975731100014</v>
      </c>
      <c r="I10" s="64">
        <f>+I6+I7+I8+I9</f>
        <v>-4030.5105808280005</v>
      </c>
      <c r="J10" s="66">
        <f>+J6+J7+J8+J9</f>
        <v>-4724.2869922820009</v>
      </c>
    </row>
    <row r="11" spans="1:10" ht="14.4" thickTop="1"/>
    <row r="12" spans="1:10" ht="14.4" customHeight="1">
      <c r="B12" s="42"/>
      <c r="C12" s="43"/>
      <c r="D12" s="43"/>
      <c r="E12" s="43"/>
      <c r="F12" s="42"/>
      <c r="G12" s="42"/>
      <c r="H12" s="42"/>
      <c r="I12" s="16"/>
      <c r="J12" s="67" t="s">
        <v>33</v>
      </c>
    </row>
    <row r="13" spans="1:10" ht="14.4">
      <c r="B13" s="42"/>
      <c r="C13" s="42"/>
      <c r="D13" s="42"/>
      <c r="E13" s="42"/>
      <c r="F13" s="42"/>
      <c r="G13" s="42"/>
      <c r="H13" s="42"/>
      <c r="I13" s="42"/>
      <c r="J13" s="67"/>
    </row>
    <row r="14" spans="1:10" ht="14.4">
      <c r="B14" s="42"/>
      <c r="C14" s="42"/>
      <c r="D14" s="42"/>
      <c r="E14" s="42"/>
      <c r="F14" s="42"/>
      <c r="G14" s="42"/>
      <c r="H14" s="42"/>
      <c r="I14" s="42"/>
      <c r="J14" s="67"/>
    </row>
    <row r="15" spans="1:10" ht="14.4">
      <c r="B15" s="42"/>
      <c r="C15" s="42"/>
      <c r="D15" s="42"/>
      <c r="E15" s="42"/>
      <c r="F15" s="42"/>
      <c r="G15" s="42"/>
      <c r="H15" s="42"/>
      <c r="I15" s="42"/>
      <c r="J15" s="50"/>
    </row>
    <row r="16" spans="1:10" ht="14.4">
      <c r="B16" s="42"/>
      <c r="C16" s="42"/>
      <c r="D16" s="42"/>
      <c r="E16" s="42"/>
      <c r="F16" s="42"/>
      <c r="G16" s="42"/>
      <c r="H16" s="42"/>
      <c r="I16" s="42"/>
      <c r="J16" s="50"/>
    </row>
    <row r="17" spans="1:10">
      <c r="A17" s="47" t="s">
        <v>40</v>
      </c>
      <c r="B17" s="51"/>
      <c r="C17" s="47"/>
      <c r="D17" s="47"/>
      <c r="E17" s="47"/>
      <c r="F17" s="47"/>
      <c r="G17" s="47"/>
      <c r="H17" s="47"/>
      <c r="I17" s="47"/>
      <c r="J17" s="47"/>
    </row>
    <row r="18" spans="1:10" ht="55.2" customHeight="1">
      <c r="B18" s="68" t="s">
        <v>44</v>
      </c>
      <c r="C18" s="69"/>
      <c r="D18" s="55" t="s">
        <v>41</v>
      </c>
      <c r="E18" s="55"/>
      <c r="F18" s="55" t="s">
        <v>42</v>
      </c>
      <c r="G18" s="55" t="s">
        <v>5</v>
      </c>
      <c r="J18" s="55" t="s">
        <v>31</v>
      </c>
    </row>
    <row r="19" spans="1:10">
      <c r="B19" s="56" t="s">
        <v>43</v>
      </c>
      <c r="C19" s="56"/>
      <c r="D19" s="57">
        <v>4266197</v>
      </c>
      <c r="E19" s="57"/>
      <c r="F19" s="57">
        <v>3592088</v>
      </c>
      <c r="G19" s="57">
        <f>+D19-F19</f>
        <v>674109</v>
      </c>
      <c r="H19" s="56"/>
      <c r="I19" s="56"/>
      <c r="J19" s="58">
        <f>+ROUND(G19*0.122,0)</f>
        <v>82241</v>
      </c>
    </row>
    <row r="20" spans="1:10">
      <c r="B20" s="59" t="s">
        <v>45</v>
      </c>
      <c r="C20" s="56"/>
      <c r="D20" s="57">
        <v>17602.78</v>
      </c>
      <c r="E20" s="57"/>
      <c r="F20" s="57">
        <v>0</v>
      </c>
      <c r="G20" s="57">
        <f>+D20-F20</f>
        <v>17602.78</v>
      </c>
      <c r="H20" s="56"/>
      <c r="I20" s="56"/>
      <c r="J20" s="58">
        <f>+(D20-F20)*0.122</f>
        <v>2147.5391599999998</v>
      </c>
    </row>
    <row r="21" spans="1:10">
      <c r="B21" s="59"/>
      <c r="C21" s="56"/>
      <c r="D21" s="57">
        <v>0</v>
      </c>
      <c r="E21" s="57"/>
      <c r="F21" s="57">
        <v>0</v>
      </c>
      <c r="G21" s="57">
        <f t="shared" ref="G21:G22" si="3">+D21-F21</f>
        <v>0</v>
      </c>
      <c r="H21" s="56"/>
      <c r="I21" s="56"/>
      <c r="J21" s="58">
        <f>+(D21-F21)*0.122</f>
        <v>0</v>
      </c>
    </row>
    <row r="22" spans="1:10">
      <c r="B22" s="59" t="s">
        <v>46</v>
      </c>
      <c r="C22" s="56"/>
      <c r="D22" s="57">
        <f>+'2021'!E26+'2020'!E52+'2019'!E53</f>
        <v>0</v>
      </c>
      <c r="E22" s="57"/>
      <c r="F22" s="57">
        <v>2959</v>
      </c>
      <c r="G22" s="57">
        <f t="shared" si="3"/>
        <v>-2959</v>
      </c>
      <c r="H22" s="56"/>
      <c r="I22" s="56"/>
      <c r="J22" s="58">
        <f>+(D22-F22)*0.122</f>
        <v>-360.99799999999999</v>
      </c>
    </row>
    <row r="23" spans="1:10" ht="14.4" thickBot="1">
      <c r="B23" s="60"/>
      <c r="C23" s="56"/>
      <c r="D23" s="64">
        <f>SUM(D19:D22)</f>
        <v>4283799.78</v>
      </c>
      <c r="E23" s="64"/>
      <c r="F23" s="64">
        <f>SUM(F19:F22)</f>
        <v>3595047</v>
      </c>
      <c r="G23" s="64">
        <f>SUM(G19:G22)</f>
        <v>688752.78</v>
      </c>
      <c r="H23" s="56"/>
      <c r="I23" s="56"/>
      <c r="J23" s="61">
        <f>SUM(J19:J22)</f>
        <v>84027.541159999993</v>
      </c>
    </row>
    <row r="24" spans="1:10" ht="14.4" thickTop="1">
      <c r="J24" s="53"/>
    </row>
    <row r="25" spans="1:10">
      <c r="I25" s="52" t="s">
        <v>48</v>
      </c>
      <c r="J25" s="53">
        <f>-J10</f>
        <v>4724.2869922820009</v>
      </c>
    </row>
    <row r="26" spans="1:10">
      <c r="J26" s="53"/>
    </row>
    <row r="27" spans="1:10" ht="14.4" thickBot="1">
      <c r="J27" s="54">
        <f>+J23+J25</f>
        <v>88751.828152281989</v>
      </c>
    </row>
    <row r="28" spans="1:10" ht="14.4" thickTop="1"/>
  </sheetData>
  <mergeCells count="2">
    <mergeCell ref="J12:J14"/>
    <mergeCell ref="B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11BF-351D-4FD5-B70B-22C972E60E4A}">
  <dimension ref="A1:Q32"/>
  <sheetViews>
    <sheetView workbookViewId="0">
      <selection activeCell="E5" sqref="E5:F5"/>
    </sheetView>
  </sheetViews>
  <sheetFormatPr defaultColWidth="9.109375" defaultRowHeight="14.4"/>
  <cols>
    <col min="1" max="1" width="9.109375" style="42"/>
    <col min="2" max="2" width="12" style="42" customWidth="1"/>
    <col min="3" max="3" width="9.109375" style="42"/>
    <col min="4" max="4" width="12.44140625" style="42" bestFit="1" customWidth="1"/>
    <col min="5" max="5" width="18.109375" style="42" bestFit="1" customWidth="1"/>
    <col min="6" max="6" width="17.33203125" style="42" bestFit="1" customWidth="1"/>
    <col min="7" max="7" width="10.44140625" style="42" bestFit="1" customWidth="1"/>
    <col min="8" max="9" width="9.109375" style="42"/>
    <col min="10" max="10" width="11.109375" style="42" bestFit="1" customWidth="1"/>
    <col min="11" max="16384" width="9.109375" style="42"/>
  </cols>
  <sheetData>
    <row r="1" spans="1:17">
      <c r="A1" s="1" t="str">
        <f>+Summary!A1</f>
        <v>Coopérative Hydro Embrun Inc.</v>
      </c>
    </row>
    <row r="2" spans="1:17">
      <c r="A2" s="1" t="str">
        <f>+Summary!A2</f>
        <v>CCA Calculations - AII</v>
      </c>
    </row>
    <row r="3" spans="1:17">
      <c r="A3" s="2" t="s">
        <v>38</v>
      </c>
    </row>
    <row r="5" spans="1:17" ht="28.8">
      <c r="D5" s="23"/>
      <c r="E5" s="36" t="s">
        <v>49</v>
      </c>
      <c r="F5" s="36" t="s">
        <v>50</v>
      </c>
    </row>
    <row r="6" spans="1:17">
      <c r="B6" s="4" t="s">
        <v>1</v>
      </c>
      <c r="C6" s="4" t="s">
        <v>2</v>
      </c>
      <c r="D6" s="4" t="s">
        <v>12</v>
      </c>
      <c r="E6" s="4" t="s">
        <v>3</v>
      </c>
      <c r="F6" s="4" t="s">
        <v>4</v>
      </c>
      <c r="G6" s="4" t="s">
        <v>5</v>
      </c>
      <c r="J6" s="17"/>
      <c r="K6" s="17"/>
    </row>
    <row r="7" spans="1:17">
      <c r="B7" s="42">
        <v>1</v>
      </c>
      <c r="C7" s="3">
        <v>0.04</v>
      </c>
      <c r="D7" s="22">
        <v>0</v>
      </c>
      <c r="E7" s="22">
        <f>(D7*C7)*1.5</f>
        <v>0</v>
      </c>
      <c r="F7" s="22">
        <f>(D7*C7)*0.5</f>
        <v>0</v>
      </c>
      <c r="G7" s="22">
        <f>E7-F7</f>
        <v>0</v>
      </c>
      <c r="J7" s="16"/>
      <c r="K7" s="16"/>
      <c r="L7" s="16"/>
      <c r="M7" s="16"/>
      <c r="N7" s="16"/>
      <c r="O7" s="16"/>
    </row>
    <row r="8" spans="1:17">
      <c r="B8" s="42">
        <v>10</v>
      </c>
      <c r="C8" s="3">
        <v>0.3</v>
      </c>
      <c r="D8" s="22">
        <v>750</v>
      </c>
      <c r="E8" s="22">
        <f t="shared" ref="E8:E11" si="0">(D8*C8)*1.5</f>
        <v>337.5</v>
      </c>
      <c r="F8" s="22">
        <f t="shared" ref="F8:F11" si="1">(D8*C8)*0.5</f>
        <v>112.5</v>
      </c>
      <c r="G8" s="22">
        <f t="shared" ref="G8:G11" si="2">E8-F8</f>
        <v>225</v>
      </c>
      <c r="J8" s="16"/>
      <c r="K8" s="16"/>
      <c r="L8" s="16"/>
      <c r="M8" s="16"/>
      <c r="N8" s="16"/>
      <c r="O8" s="16"/>
      <c r="P8" s="16"/>
      <c r="Q8" s="16"/>
    </row>
    <row r="9" spans="1:17">
      <c r="B9" s="42">
        <v>50</v>
      </c>
      <c r="C9" s="3">
        <v>0.55000000000000004</v>
      </c>
      <c r="D9" s="22">
        <v>0</v>
      </c>
      <c r="E9" s="22">
        <f t="shared" si="0"/>
        <v>0</v>
      </c>
      <c r="F9" s="22">
        <f t="shared" si="1"/>
        <v>0</v>
      </c>
      <c r="G9" s="22">
        <f t="shared" si="2"/>
        <v>0</v>
      </c>
      <c r="J9" s="16"/>
      <c r="K9" s="16"/>
      <c r="L9" s="16"/>
      <c r="M9" s="16"/>
      <c r="N9" s="16"/>
      <c r="O9" s="16"/>
      <c r="P9" s="16"/>
      <c r="Q9" s="16"/>
    </row>
    <row r="10" spans="1:17">
      <c r="B10" s="42">
        <v>8</v>
      </c>
      <c r="C10" s="3">
        <v>0.2</v>
      </c>
      <c r="D10" s="22">
        <v>750</v>
      </c>
      <c r="E10" s="22">
        <f t="shared" si="0"/>
        <v>225</v>
      </c>
      <c r="F10" s="22">
        <f t="shared" si="1"/>
        <v>75</v>
      </c>
      <c r="G10" s="22">
        <f t="shared" si="2"/>
        <v>150</v>
      </c>
      <c r="J10" s="16"/>
      <c r="K10" s="16"/>
      <c r="L10" s="16"/>
      <c r="M10" s="16"/>
      <c r="N10" s="16"/>
      <c r="O10" s="16"/>
      <c r="P10" s="16"/>
      <c r="Q10" s="16"/>
    </row>
    <row r="11" spans="1:17">
      <c r="B11" s="39">
        <v>47</v>
      </c>
      <c r="C11" s="44">
        <v>0.08</v>
      </c>
      <c r="D11" s="45">
        <v>155915</v>
      </c>
      <c r="E11" s="45">
        <f t="shared" si="0"/>
        <v>18709.800000000003</v>
      </c>
      <c r="F11" s="45">
        <f t="shared" si="1"/>
        <v>6236.6</v>
      </c>
      <c r="G11" s="45">
        <f t="shared" si="2"/>
        <v>12473.200000000003</v>
      </c>
    </row>
    <row r="12" spans="1:17">
      <c r="B12" s="46">
        <v>12</v>
      </c>
      <c r="C12" s="6">
        <v>1</v>
      </c>
      <c r="D12" s="24">
        <v>36105</v>
      </c>
      <c r="E12" s="24">
        <f>(D12*C12)</f>
        <v>36105</v>
      </c>
      <c r="F12" s="24">
        <f>(D12*C12)</f>
        <v>36105</v>
      </c>
      <c r="G12" s="24">
        <f t="shared" ref="G12" si="3">E12-F12</f>
        <v>0</v>
      </c>
    </row>
    <row r="13" spans="1:17">
      <c r="D13" s="7">
        <f>SUM(D7:D12)</f>
        <v>193520</v>
      </c>
      <c r="E13" s="77">
        <f>SUM(E7:E12)</f>
        <v>55377.3</v>
      </c>
      <c r="F13" s="77">
        <f>SUM(F7:F12)</f>
        <v>42529.1</v>
      </c>
      <c r="G13" s="7">
        <f>SUM(G7:G11)</f>
        <v>12848.200000000003</v>
      </c>
    </row>
    <row r="14" spans="1:17">
      <c r="D14" s="23"/>
    </row>
    <row r="15" spans="1:17">
      <c r="B15" s="27" t="s">
        <v>6</v>
      </c>
    </row>
    <row r="16" spans="1:17">
      <c r="B16" s="42" t="s">
        <v>7</v>
      </c>
      <c r="D16" s="10">
        <f>E13</f>
        <v>55377.3</v>
      </c>
    </row>
    <row r="17" spans="1:11">
      <c r="B17" s="42" t="s">
        <v>8</v>
      </c>
      <c r="D17" s="8">
        <f>F13</f>
        <v>42529.1</v>
      </c>
    </row>
    <row r="18" spans="1:11">
      <c r="D18" s="7">
        <f>D16-D17</f>
        <v>12848.200000000004</v>
      </c>
    </row>
    <row r="19" spans="1:11">
      <c r="D19" s="7"/>
      <c r="E19" s="13"/>
    </row>
    <row r="20" spans="1:11">
      <c r="B20" s="42" t="s">
        <v>19</v>
      </c>
      <c r="D20" s="7">
        <f>+'2019'!G40</f>
        <v>-1720.7305259999987</v>
      </c>
      <c r="E20" s="13" t="s">
        <v>37</v>
      </c>
    </row>
    <row r="21" spans="1:11">
      <c r="B21" s="42" t="s">
        <v>35</v>
      </c>
      <c r="D21" s="7">
        <f>+'2020'!G39</f>
        <v>-1074.4796999999999</v>
      </c>
      <c r="E21" s="13" t="s">
        <v>36</v>
      </c>
    </row>
    <row r="22" spans="1:11">
      <c r="D22" s="37">
        <f>+D18+D19+D21</f>
        <v>11773.720300000004</v>
      </c>
      <c r="E22" s="13"/>
    </row>
    <row r="23" spans="1:11">
      <c r="B23" s="42" t="s">
        <v>9</v>
      </c>
      <c r="D23" s="9">
        <v>0.26500000000000001</v>
      </c>
    </row>
    <row r="24" spans="1:11" ht="15" thickBot="1">
      <c r="D24" s="26">
        <f>D22*D23</f>
        <v>3120.0358795000016</v>
      </c>
    </row>
    <row r="25" spans="1:11" ht="15" thickTop="1">
      <c r="D25" s="38"/>
    </row>
    <row r="27" spans="1:11">
      <c r="A27" s="21" t="s">
        <v>16</v>
      </c>
    </row>
    <row r="28" spans="1:11">
      <c r="A28" s="70" t="s">
        <v>17</v>
      </c>
      <c r="B28" s="70"/>
      <c r="C28" s="70"/>
      <c r="D28" s="70"/>
      <c r="E28" s="70"/>
      <c r="F28" s="70"/>
      <c r="G28" s="70"/>
      <c r="H28" s="70"/>
      <c r="I28" s="70"/>
      <c r="J28" s="70"/>
      <c r="K28" s="70"/>
    </row>
    <row r="29" spans="1:11">
      <c r="A29" s="70"/>
      <c r="B29" s="70"/>
      <c r="C29" s="70"/>
      <c r="D29" s="70"/>
      <c r="E29" s="70"/>
      <c r="F29" s="70"/>
      <c r="G29" s="70"/>
      <c r="H29" s="70"/>
      <c r="I29" s="70"/>
      <c r="J29" s="70"/>
      <c r="K29" s="70"/>
    </row>
    <row r="30" spans="1:11">
      <c r="A30" s="70"/>
      <c r="B30" s="70"/>
      <c r="C30" s="70"/>
      <c r="D30" s="70"/>
      <c r="E30" s="70"/>
      <c r="F30" s="70"/>
      <c r="G30" s="70"/>
      <c r="H30" s="70"/>
      <c r="I30" s="70"/>
      <c r="J30" s="70"/>
      <c r="K30" s="70"/>
    </row>
    <row r="31" spans="1:11">
      <c r="A31" s="70"/>
      <c r="B31" s="70"/>
      <c r="C31" s="70"/>
      <c r="D31" s="70"/>
      <c r="E31" s="70"/>
      <c r="F31" s="70"/>
      <c r="G31" s="70"/>
      <c r="H31" s="70"/>
      <c r="I31" s="70"/>
      <c r="J31" s="70"/>
      <c r="K31" s="70"/>
    </row>
    <row r="32" spans="1:11">
      <c r="A32" s="70"/>
      <c r="B32" s="70"/>
      <c r="C32" s="70"/>
      <c r="D32" s="70"/>
      <c r="E32" s="70"/>
      <c r="F32" s="70"/>
      <c r="G32" s="70"/>
      <c r="H32" s="70"/>
      <c r="I32" s="70"/>
      <c r="J32" s="70"/>
      <c r="K32" s="70"/>
    </row>
  </sheetData>
  <mergeCells count="1">
    <mergeCell ref="A28:K32"/>
  </mergeCells>
  <pageMargins left="0.7" right="0.7" top="0.75" bottom="0.75" header="0.3" footer="0.3"/>
  <pageSetup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E1DA-141B-47C8-AB45-3C4A033BA40D}">
  <dimension ref="A1:Q39"/>
  <sheetViews>
    <sheetView workbookViewId="0">
      <selection activeCell="F14" sqref="E12:F14"/>
    </sheetView>
  </sheetViews>
  <sheetFormatPr defaultRowHeight="14.4"/>
  <cols>
    <col min="2" max="2" width="12" customWidth="1"/>
    <col min="4" max="4" width="12.44140625" bestFit="1" customWidth="1"/>
    <col min="5" max="5" width="18.109375" bestFit="1" customWidth="1"/>
    <col min="6" max="6" width="17.33203125" bestFit="1" customWidth="1"/>
    <col min="7" max="7" width="10.44140625" bestFit="1" customWidth="1"/>
    <col min="10" max="10" width="11.109375" bestFit="1" customWidth="1"/>
  </cols>
  <sheetData>
    <row r="1" spans="1:17">
      <c r="A1" s="1" t="str">
        <f>+Summary!A1</f>
        <v>Coopérative Hydro Embrun Inc.</v>
      </c>
    </row>
    <row r="2" spans="1:17">
      <c r="A2" s="1" t="str">
        <f>+Summary!A2</f>
        <v>CCA Calculations - AII</v>
      </c>
    </row>
    <row r="3" spans="1:17">
      <c r="A3" s="2" t="s">
        <v>18</v>
      </c>
    </row>
    <row r="5" spans="1:17" ht="28.8">
      <c r="D5" s="23"/>
      <c r="E5" s="36" t="s">
        <v>49</v>
      </c>
      <c r="F5" s="36" t="s">
        <v>50</v>
      </c>
    </row>
    <row r="6" spans="1:17">
      <c r="B6" s="4" t="s">
        <v>1</v>
      </c>
      <c r="C6" s="4" t="s">
        <v>2</v>
      </c>
      <c r="D6" s="4" t="s">
        <v>12</v>
      </c>
      <c r="E6" s="4" t="s">
        <v>3</v>
      </c>
      <c r="F6" s="4" t="s">
        <v>4</v>
      </c>
      <c r="G6" s="4" t="s">
        <v>5</v>
      </c>
      <c r="J6" s="17"/>
      <c r="K6" s="17"/>
    </row>
    <row r="7" spans="1:17">
      <c r="B7">
        <v>1</v>
      </c>
      <c r="C7" s="3">
        <v>0.04</v>
      </c>
      <c r="D7" s="22">
        <v>0</v>
      </c>
      <c r="E7" s="22">
        <f>(D7*C7)*1.5</f>
        <v>0</v>
      </c>
      <c r="F7" s="22">
        <f>(D7*C7)*0.5</f>
        <v>0</v>
      </c>
      <c r="G7" s="22">
        <f>E7-F7</f>
        <v>0</v>
      </c>
      <c r="J7" s="16"/>
      <c r="K7" s="16"/>
      <c r="L7" s="16"/>
      <c r="M7" s="16"/>
      <c r="N7" s="16"/>
      <c r="O7" s="16"/>
    </row>
    <row r="8" spans="1:17">
      <c r="B8">
        <v>47</v>
      </c>
      <c r="C8" s="3">
        <v>0.08</v>
      </c>
      <c r="D8" s="22">
        <v>0</v>
      </c>
      <c r="E8" s="22">
        <f t="shared" ref="E8:E11" si="0">(D8*C8)*1.5</f>
        <v>0</v>
      </c>
      <c r="F8" s="22">
        <f t="shared" ref="F8:F11" si="1">(D8*C8)*0.5</f>
        <v>0</v>
      </c>
      <c r="G8" s="22">
        <f t="shared" ref="G8:G11" si="2">E8-F8</f>
        <v>0</v>
      </c>
      <c r="J8" s="16"/>
      <c r="K8" s="16"/>
      <c r="L8" s="16"/>
      <c r="M8" s="16"/>
      <c r="N8" s="16"/>
      <c r="O8" s="16"/>
      <c r="P8" s="16"/>
      <c r="Q8" s="16"/>
    </row>
    <row r="9" spans="1:17">
      <c r="B9">
        <v>50</v>
      </c>
      <c r="C9" s="3">
        <v>0.55000000000000004</v>
      </c>
      <c r="D9" s="22">
        <v>1245</v>
      </c>
      <c r="E9" s="22">
        <f t="shared" si="0"/>
        <v>1027.125</v>
      </c>
      <c r="F9" s="22">
        <f t="shared" si="1"/>
        <v>342.375</v>
      </c>
      <c r="G9" s="22">
        <f t="shared" si="2"/>
        <v>684.75</v>
      </c>
      <c r="J9" s="16"/>
      <c r="K9" s="16"/>
      <c r="L9" s="16"/>
      <c r="M9" s="16"/>
      <c r="N9" s="16"/>
      <c r="O9" s="16"/>
      <c r="P9" s="16"/>
      <c r="Q9" s="16"/>
    </row>
    <row r="10" spans="1:17">
      <c r="B10">
        <v>8</v>
      </c>
      <c r="C10" s="3">
        <v>0.2</v>
      </c>
      <c r="D10" s="22">
        <v>3431</v>
      </c>
      <c r="E10" s="22">
        <f t="shared" si="0"/>
        <v>1029.3000000000002</v>
      </c>
      <c r="F10" s="22">
        <f t="shared" si="1"/>
        <v>343.1</v>
      </c>
      <c r="G10" s="22">
        <f t="shared" si="2"/>
        <v>686.20000000000016</v>
      </c>
      <c r="J10" s="16"/>
      <c r="K10" s="16"/>
      <c r="L10" s="16"/>
      <c r="M10" s="16"/>
      <c r="N10" s="16"/>
      <c r="O10" s="16"/>
      <c r="P10" s="16"/>
      <c r="Q10" s="16"/>
    </row>
    <row r="11" spans="1:17">
      <c r="B11" s="5">
        <v>47</v>
      </c>
      <c r="C11" s="6">
        <v>0.08</v>
      </c>
      <c r="D11" s="24">
        <v>87598</v>
      </c>
      <c r="E11" s="24">
        <f t="shared" si="0"/>
        <v>10511.76</v>
      </c>
      <c r="F11" s="24">
        <f t="shared" si="1"/>
        <v>3503.92</v>
      </c>
      <c r="G11" s="24">
        <f t="shared" si="2"/>
        <v>7007.84</v>
      </c>
    </row>
    <row r="12" spans="1:17">
      <c r="D12" s="7">
        <f>SUM(D7:D11)</f>
        <v>92274</v>
      </c>
      <c r="E12" s="75">
        <f>SUM(E7:E11)</f>
        <v>12568.185000000001</v>
      </c>
      <c r="F12" s="75">
        <f>SUM(F7:F11)</f>
        <v>4189.3950000000004</v>
      </c>
      <c r="G12" s="7">
        <f>SUM(G7:G11)</f>
        <v>8378.7900000000009</v>
      </c>
    </row>
    <row r="13" spans="1:17">
      <c r="D13" s="23"/>
    </row>
    <row r="14" spans="1:17">
      <c r="B14" s="27" t="s">
        <v>6</v>
      </c>
    </row>
    <row r="15" spans="1:17">
      <c r="B15" t="s">
        <v>7</v>
      </c>
      <c r="D15" s="10">
        <f>E12</f>
        <v>12568.185000000001</v>
      </c>
    </row>
    <row r="16" spans="1:17">
      <c r="B16" t="s">
        <v>8</v>
      </c>
      <c r="D16" s="8">
        <f>F12</f>
        <v>4189.3950000000004</v>
      </c>
    </row>
    <row r="17" spans="1:11">
      <c r="D17" s="7">
        <f>D15-D16</f>
        <v>8378.7900000000009</v>
      </c>
    </row>
    <row r="18" spans="1:11">
      <c r="D18" s="7"/>
      <c r="E18" s="13"/>
    </row>
    <row r="19" spans="1:11">
      <c r="B19" t="s">
        <v>19</v>
      </c>
      <c r="D19" s="7">
        <f>+'2019'!G31</f>
        <v>-4079.6678000000006</v>
      </c>
      <c r="E19" s="13" t="s">
        <v>20</v>
      </c>
    </row>
    <row r="20" spans="1:11">
      <c r="D20" s="37">
        <f>+D17+D18+D19</f>
        <v>4299.1221999999998</v>
      </c>
      <c r="E20" s="13"/>
    </row>
    <row r="21" spans="1:11">
      <c r="B21" t="s">
        <v>9</v>
      </c>
      <c r="D21" s="9">
        <v>0.26500000000000001</v>
      </c>
    </row>
    <row r="22" spans="1:11" ht="15" thickBot="1">
      <c r="D22" s="26">
        <f>D20*D21</f>
        <v>1139.2673830000001</v>
      </c>
    </row>
    <row r="23" spans="1:11" ht="15" thickTop="1">
      <c r="D23" s="38"/>
    </row>
    <row r="25" spans="1:11">
      <c r="A25" s="21" t="s">
        <v>16</v>
      </c>
    </row>
    <row r="26" spans="1:11">
      <c r="A26" s="70" t="s">
        <v>17</v>
      </c>
      <c r="B26" s="70"/>
      <c r="C26" s="70"/>
      <c r="D26" s="70"/>
      <c r="E26" s="70"/>
      <c r="F26" s="70"/>
      <c r="G26" s="70"/>
      <c r="H26" s="70"/>
      <c r="I26" s="70"/>
      <c r="J26" s="70"/>
      <c r="K26" s="70"/>
    </row>
    <row r="27" spans="1:11">
      <c r="A27" s="70"/>
      <c r="B27" s="70"/>
      <c r="C27" s="70"/>
      <c r="D27" s="70"/>
      <c r="E27" s="70"/>
      <c r="F27" s="70"/>
      <c r="G27" s="70"/>
      <c r="H27" s="70"/>
      <c r="I27" s="70"/>
      <c r="J27" s="70"/>
      <c r="K27" s="70"/>
    </row>
    <row r="28" spans="1:11">
      <c r="A28" s="70"/>
      <c r="B28" s="70"/>
      <c r="C28" s="70"/>
      <c r="D28" s="70"/>
      <c r="E28" s="70"/>
      <c r="F28" s="70"/>
      <c r="G28" s="70"/>
      <c r="H28" s="70"/>
      <c r="I28" s="70"/>
      <c r="J28" s="70"/>
      <c r="K28" s="70"/>
    </row>
    <row r="29" spans="1:11">
      <c r="A29" s="70"/>
      <c r="B29" s="70"/>
      <c r="C29" s="70"/>
      <c r="D29" s="70"/>
      <c r="E29" s="70"/>
      <c r="F29" s="70"/>
      <c r="G29" s="70"/>
      <c r="H29" s="70"/>
      <c r="I29" s="70"/>
      <c r="J29" s="70"/>
      <c r="K29" s="70"/>
    </row>
    <row r="30" spans="1:11">
      <c r="A30" s="70"/>
      <c r="B30" s="70"/>
      <c r="C30" s="70"/>
      <c r="D30" s="70"/>
      <c r="E30" s="70"/>
      <c r="F30" s="70"/>
      <c r="G30" s="70"/>
      <c r="H30" s="70"/>
      <c r="I30" s="70"/>
      <c r="J30" s="70"/>
      <c r="K30" s="70"/>
    </row>
    <row r="32" spans="1:11" ht="28.8">
      <c r="A32" s="1" t="s">
        <v>34</v>
      </c>
      <c r="B32" s="42"/>
      <c r="C32" s="42"/>
      <c r="D32" s="42"/>
      <c r="E32" s="36" t="s">
        <v>49</v>
      </c>
      <c r="F32" s="36" t="s">
        <v>50</v>
      </c>
      <c r="G32" s="42"/>
    </row>
    <row r="33" spans="1:7" ht="43.2">
      <c r="A33" s="42"/>
      <c r="B33" s="4" t="s">
        <v>1</v>
      </c>
      <c r="C33" s="4" t="s">
        <v>2</v>
      </c>
      <c r="D33" s="4" t="s">
        <v>5</v>
      </c>
      <c r="E33" s="4" t="s">
        <v>25</v>
      </c>
      <c r="F33" s="36" t="s">
        <v>26</v>
      </c>
      <c r="G33" s="4" t="s">
        <v>5</v>
      </c>
    </row>
    <row r="34" spans="1:7">
      <c r="A34" s="42"/>
      <c r="B34" s="30">
        <v>1</v>
      </c>
      <c r="C34" s="31">
        <v>0.04</v>
      </c>
      <c r="D34" s="7">
        <f>+G7</f>
        <v>0</v>
      </c>
      <c r="E34" s="19">
        <f>C34*D34</f>
        <v>0</v>
      </c>
      <c r="F34" s="42"/>
      <c r="G34" s="42"/>
    </row>
    <row r="35" spans="1:7">
      <c r="A35" s="42"/>
      <c r="B35" s="30">
        <v>12</v>
      </c>
      <c r="C35" s="31">
        <v>1</v>
      </c>
      <c r="D35" s="7">
        <f t="shared" ref="D35:D38" si="3">+G8</f>
        <v>0</v>
      </c>
      <c r="E35" s="19">
        <f>+(D8-E8)*C35</f>
        <v>0</v>
      </c>
      <c r="F35" s="19">
        <f>+(D8-F8)*C35</f>
        <v>0</v>
      </c>
      <c r="G35" s="19">
        <f>+E35-F35</f>
        <v>0</v>
      </c>
    </row>
    <row r="36" spans="1:7">
      <c r="A36" s="42"/>
      <c r="B36" s="30">
        <v>50</v>
      </c>
      <c r="C36" s="31">
        <v>0.55000000000000004</v>
      </c>
      <c r="D36" s="7">
        <f t="shared" si="3"/>
        <v>684.75</v>
      </c>
      <c r="E36" s="19">
        <f t="shared" ref="E36:E38" si="4">+(D9-E9)*C36</f>
        <v>119.83125000000001</v>
      </c>
      <c r="F36" s="19">
        <f t="shared" ref="F36:F38" si="5">+(D9-F9)*C36</f>
        <v>496.44375000000002</v>
      </c>
      <c r="G36" s="19">
        <f t="shared" ref="G36:G38" si="6">+E36-F36</f>
        <v>-376.61250000000001</v>
      </c>
    </row>
    <row r="37" spans="1:7">
      <c r="A37" s="42"/>
      <c r="B37" s="30">
        <v>8</v>
      </c>
      <c r="C37" s="31">
        <v>0.2</v>
      </c>
      <c r="D37" s="7">
        <f t="shared" si="3"/>
        <v>686.20000000000016</v>
      </c>
      <c r="E37" s="19">
        <f t="shared" si="4"/>
        <v>480.34</v>
      </c>
      <c r="F37" s="19">
        <f t="shared" si="5"/>
        <v>617.58000000000004</v>
      </c>
      <c r="G37" s="19">
        <f t="shared" si="6"/>
        <v>-137.24000000000007</v>
      </c>
    </row>
    <row r="38" spans="1:7">
      <c r="A38" s="42"/>
      <c r="B38" s="33">
        <v>47</v>
      </c>
      <c r="C38" s="34">
        <v>0.08</v>
      </c>
      <c r="D38" s="8">
        <f t="shared" si="3"/>
        <v>7007.84</v>
      </c>
      <c r="E38" s="20">
        <f t="shared" si="4"/>
        <v>6166.8992000000007</v>
      </c>
      <c r="F38" s="20">
        <f t="shared" si="5"/>
        <v>6727.5264000000006</v>
      </c>
      <c r="G38" s="20">
        <f t="shared" si="6"/>
        <v>-560.6271999999999</v>
      </c>
    </row>
    <row r="39" spans="1:7">
      <c r="A39" s="42"/>
      <c r="B39" s="42"/>
      <c r="C39" s="42"/>
      <c r="D39" s="7">
        <f>SUM(D34:D38)</f>
        <v>8378.7900000000009</v>
      </c>
      <c r="E39" s="77">
        <f>SUM(E34:E38)</f>
        <v>6767.0704500000011</v>
      </c>
      <c r="F39" s="77">
        <f>SUM(F34:F38)</f>
        <v>7841.5501500000009</v>
      </c>
      <c r="G39" s="19">
        <f>+SUM(G34:G38)</f>
        <v>-1074.4796999999999</v>
      </c>
    </row>
  </sheetData>
  <mergeCells count="1">
    <mergeCell ref="A26:K30"/>
  </mergeCells>
  <phoneticPr fontId="8" type="noConversion"/>
  <pageMargins left="0.7" right="0.7" top="0.75" bottom="0.75" header="0.3" footer="0.3"/>
  <pageSetup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15954-D650-488E-BEE7-0EFAE7AFDF16}">
  <dimension ref="A1:Q40"/>
  <sheetViews>
    <sheetView workbookViewId="0">
      <selection activeCell="E24" sqref="E24:F24"/>
    </sheetView>
  </sheetViews>
  <sheetFormatPr defaultRowHeight="14.4"/>
  <cols>
    <col min="4" max="4" width="12.44140625" bestFit="1" customWidth="1"/>
    <col min="5" max="5" width="18.109375" bestFit="1" customWidth="1"/>
    <col min="6" max="6" width="17.33203125" bestFit="1" customWidth="1"/>
    <col min="7" max="7" width="12.33203125" customWidth="1"/>
    <col min="10" max="10" width="11.109375" bestFit="1" customWidth="1"/>
  </cols>
  <sheetData>
    <row r="1" spans="1:17">
      <c r="A1" s="1" t="str">
        <f>+Summary!A1</f>
        <v>Coopérative Hydro Embrun Inc.</v>
      </c>
    </row>
    <row r="2" spans="1:17">
      <c r="A2" s="1" t="str">
        <f>+Summary!A2</f>
        <v>CCA Calculations - AII</v>
      </c>
    </row>
    <row r="3" spans="1:17">
      <c r="A3" s="2" t="s">
        <v>0</v>
      </c>
    </row>
    <row r="5" spans="1:17" ht="28.8">
      <c r="E5" s="36" t="s">
        <v>49</v>
      </c>
      <c r="F5" s="36" t="s">
        <v>50</v>
      </c>
    </row>
    <row r="6" spans="1:17">
      <c r="B6" s="4" t="s">
        <v>1</v>
      </c>
      <c r="C6" s="4" t="s">
        <v>2</v>
      </c>
      <c r="D6" s="4" t="s">
        <v>12</v>
      </c>
      <c r="E6" s="4" t="s">
        <v>3</v>
      </c>
      <c r="F6" s="4" t="s">
        <v>4</v>
      </c>
      <c r="G6" s="4" t="s">
        <v>5</v>
      </c>
      <c r="J6" s="17"/>
      <c r="K6" s="17"/>
    </row>
    <row r="7" spans="1:17">
      <c r="B7" s="30">
        <v>1</v>
      </c>
      <c r="C7" s="31">
        <v>0.04</v>
      </c>
      <c r="D7" s="32"/>
      <c r="E7" s="32">
        <f>(D7*C7)*1.5</f>
        <v>0</v>
      </c>
      <c r="F7" s="32">
        <f>(D7*C7)*0.5</f>
        <v>0</v>
      </c>
      <c r="G7" s="32">
        <f>E7-F7</f>
        <v>0</v>
      </c>
      <c r="J7" s="16"/>
      <c r="K7" s="16"/>
      <c r="L7" s="16"/>
      <c r="M7" s="16"/>
      <c r="N7" s="16"/>
      <c r="O7" s="16"/>
    </row>
    <row r="8" spans="1:17">
      <c r="B8" s="30">
        <v>12</v>
      </c>
      <c r="C8" s="31">
        <v>1</v>
      </c>
      <c r="D8" s="32">
        <v>2988</v>
      </c>
      <c r="E8" s="32">
        <f>+D8</f>
        <v>2988</v>
      </c>
      <c r="F8" s="32">
        <f>(D8*C8)*0.5</f>
        <v>1494</v>
      </c>
      <c r="G8" s="32">
        <f t="shared" ref="G8:G11" si="0">E8-F8</f>
        <v>1494</v>
      </c>
      <c r="J8" s="16"/>
      <c r="K8" s="16"/>
      <c r="L8" s="16"/>
      <c r="M8" s="16"/>
      <c r="N8" s="16"/>
      <c r="O8" s="16"/>
      <c r="P8" s="16"/>
      <c r="Q8" s="16"/>
    </row>
    <row r="9" spans="1:17">
      <c r="B9" s="30">
        <v>50</v>
      </c>
      <c r="C9" s="31">
        <v>0.55000000000000004</v>
      </c>
      <c r="D9" s="32">
        <v>4598</v>
      </c>
      <c r="E9" s="32">
        <f t="shared" ref="E9:E11" si="1">(D9*C9)*1.5</f>
        <v>3793.3500000000004</v>
      </c>
      <c r="F9" s="32">
        <f t="shared" ref="F9:F11" si="2">(D9*C9)*0.5</f>
        <v>1264.45</v>
      </c>
      <c r="G9" s="32">
        <f t="shared" si="0"/>
        <v>2528.9000000000005</v>
      </c>
      <c r="J9" s="16"/>
      <c r="K9" s="16"/>
      <c r="L9" s="16"/>
      <c r="M9" s="16"/>
      <c r="N9" s="16"/>
      <c r="O9" s="16"/>
      <c r="P9" s="16"/>
      <c r="Q9" s="16"/>
    </row>
    <row r="10" spans="1:17">
      <c r="B10" s="30">
        <v>8</v>
      </c>
      <c r="C10" s="31">
        <v>0.2</v>
      </c>
      <c r="D10" s="32">
        <v>909</v>
      </c>
      <c r="E10" s="32">
        <f t="shared" si="1"/>
        <v>272.70000000000005</v>
      </c>
      <c r="F10" s="32">
        <f t="shared" si="2"/>
        <v>90.9</v>
      </c>
      <c r="G10" s="32">
        <f t="shared" si="0"/>
        <v>181.80000000000004</v>
      </c>
      <c r="J10" s="16"/>
      <c r="K10" s="16"/>
      <c r="L10" s="16"/>
      <c r="M10" s="16"/>
      <c r="N10" s="16"/>
      <c r="O10" s="16"/>
      <c r="P10" s="16"/>
      <c r="Q10" s="16"/>
    </row>
    <row r="11" spans="1:17">
      <c r="B11" s="33">
        <v>47</v>
      </c>
      <c r="C11" s="34">
        <v>0.08</v>
      </c>
      <c r="D11" s="35">
        <v>181002</v>
      </c>
      <c r="E11" s="35">
        <f t="shared" si="1"/>
        <v>21720.239999999998</v>
      </c>
      <c r="F11" s="35">
        <f t="shared" si="2"/>
        <v>7240.08</v>
      </c>
      <c r="G11" s="35">
        <f t="shared" si="0"/>
        <v>14480.159999999998</v>
      </c>
    </row>
    <row r="12" spans="1:17">
      <c r="B12" s="30"/>
      <c r="C12" s="30"/>
      <c r="D12" s="32">
        <f>SUM(D7:D11)</f>
        <v>189497</v>
      </c>
      <c r="E12" s="74">
        <f>SUM(E7:E11)</f>
        <v>28774.289999999997</v>
      </c>
      <c r="F12" s="74">
        <f>SUM(F7:F11)</f>
        <v>10089.43</v>
      </c>
      <c r="G12" s="32">
        <f>SUM(G7:G11)</f>
        <v>18684.86</v>
      </c>
    </row>
    <row r="13" spans="1:17">
      <c r="D13" s="15"/>
    </row>
    <row r="14" spans="1:17">
      <c r="B14" s="12" t="s">
        <v>6</v>
      </c>
    </row>
    <row r="15" spans="1:17">
      <c r="B15" t="s">
        <v>7</v>
      </c>
      <c r="D15" s="10">
        <f>E12</f>
        <v>28774.289999999997</v>
      </c>
    </row>
    <row r="16" spans="1:17">
      <c r="B16" t="s">
        <v>8</v>
      </c>
      <c r="D16" s="8">
        <f>F12</f>
        <v>10089.43</v>
      </c>
    </row>
    <row r="17" spans="1:7">
      <c r="D17" s="7">
        <f>D15-D16</f>
        <v>18684.859999999997</v>
      </c>
    </row>
    <row r="18" spans="1:7">
      <c r="B18" t="s">
        <v>9</v>
      </c>
      <c r="D18" s="9">
        <v>0.26500000000000001</v>
      </c>
    </row>
    <row r="19" spans="1:7" ht="15" thickBot="1">
      <c r="D19" s="11">
        <f>D17*D18</f>
        <v>4951.4878999999992</v>
      </c>
    </row>
    <row r="20" spans="1:7" ht="15" thickTop="1">
      <c r="D20" s="18"/>
    </row>
    <row r="22" spans="1:7">
      <c r="B22" t="s">
        <v>13</v>
      </c>
      <c r="D22" s="18">
        <f>D19+D20</f>
        <v>4951.4878999999992</v>
      </c>
      <c r="E22" s="14"/>
    </row>
    <row r="24" spans="1:7" ht="28.8">
      <c r="A24" s="1" t="s">
        <v>15</v>
      </c>
      <c r="E24" s="36" t="s">
        <v>49</v>
      </c>
      <c r="F24" s="36" t="s">
        <v>50</v>
      </c>
    </row>
    <row r="25" spans="1:7" ht="43.2">
      <c r="B25" s="4" t="s">
        <v>1</v>
      </c>
      <c r="C25" s="4" t="s">
        <v>2</v>
      </c>
      <c r="D25" s="4" t="s">
        <v>5</v>
      </c>
      <c r="E25" s="4" t="s">
        <v>25</v>
      </c>
      <c r="F25" s="36" t="s">
        <v>26</v>
      </c>
      <c r="G25" s="4" t="s">
        <v>5</v>
      </c>
    </row>
    <row r="26" spans="1:7">
      <c r="B26" s="30">
        <v>1</v>
      </c>
      <c r="C26" s="31">
        <v>0.04</v>
      </c>
      <c r="D26" s="7">
        <f>G7</f>
        <v>0</v>
      </c>
      <c r="E26" s="19">
        <f>C26*D26</f>
        <v>0</v>
      </c>
    </row>
    <row r="27" spans="1:7">
      <c r="B27" s="30">
        <v>12</v>
      </c>
      <c r="C27" s="31">
        <v>1</v>
      </c>
      <c r="D27" s="7">
        <f>G8</f>
        <v>1494</v>
      </c>
      <c r="E27" s="19">
        <f>+(D8-E8)*C27</f>
        <v>0</v>
      </c>
      <c r="F27" s="19">
        <f>+(D8-F8)*C27</f>
        <v>1494</v>
      </c>
      <c r="G27" s="19">
        <f>+E27-F27</f>
        <v>-1494</v>
      </c>
    </row>
    <row r="28" spans="1:7">
      <c r="B28" s="30">
        <v>50</v>
      </c>
      <c r="C28" s="31">
        <v>0.55000000000000004</v>
      </c>
      <c r="D28" s="7">
        <f t="shared" ref="D28:D30" si="3">G9</f>
        <v>2528.9000000000005</v>
      </c>
      <c r="E28" s="19">
        <f>+(D9-E9)*C28</f>
        <v>442.55749999999983</v>
      </c>
      <c r="F28" s="19">
        <f>+(D9-F9)*C28</f>
        <v>1833.4525000000003</v>
      </c>
      <c r="G28" s="19">
        <f t="shared" ref="G28:G30" si="4">+E28-F28</f>
        <v>-1390.8950000000004</v>
      </c>
    </row>
    <row r="29" spans="1:7">
      <c r="B29" s="30">
        <v>8</v>
      </c>
      <c r="C29" s="31">
        <v>0.2</v>
      </c>
      <c r="D29" s="7">
        <f t="shared" si="3"/>
        <v>181.80000000000004</v>
      </c>
      <c r="E29" s="19">
        <f t="shared" ref="E29" si="5">+(D10-E10)*C29</f>
        <v>127.25999999999999</v>
      </c>
      <c r="F29" s="19">
        <f>+(D10-F10)*C29</f>
        <v>163.62</v>
      </c>
      <c r="G29" s="19">
        <f t="shared" si="4"/>
        <v>-36.360000000000014</v>
      </c>
    </row>
    <row r="30" spans="1:7">
      <c r="B30" s="33">
        <v>47</v>
      </c>
      <c r="C30" s="34">
        <v>0.08</v>
      </c>
      <c r="D30" s="8">
        <f t="shared" si="3"/>
        <v>14480.159999999998</v>
      </c>
      <c r="E30" s="20">
        <f>+(D11-E11)*C30</f>
        <v>12742.540800000001</v>
      </c>
      <c r="F30" s="20">
        <f>+(D11-F11)*C30</f>
        <v>13900.953600000001</v>
      </c>
      <c r="G30" s="20">
        <f t="shared" si="4"/>
        <v>-1158.4128000000001</v>
      </c>
    </row>
    <row r="31" spans="1:7">
      <c r="D31" s="7">
        <f>SUM(D26:D30)</f>
        <v>18684.86</v>
      </c>
      <c r="E31" s="75">
        <f>SUM(E26:E30)</f>
        <v>13312.3583</v>
      </c>
      <c r="F31" s="75">
        <f>SUM(F26:F30)</f>
        <v>17392.026100000003</v>
      </c>
      <c r="G31" s="19">
        <f>+SUM(G26:G30)</f>
        <v>-4079.6678000000006</v>
      </c>
    </row>
    <row r="33" spans="1:7" ht="28.8">
      <c r="A33" s="1" t="s">
        <v>34</v>
      </c>
      <c r="B33" s="42"/>
      <c r="C33" s="42"/>
      <c r="D33" s="42"/>
      <c r="E33" s="36" t="s">
        <v>49</v>
      </c>
      <c r="F33" s="36" t="s">
        <v>50</v>
      </c>
      <c r="G33" s="42"/>
    </row>
    <row r="34" spans="1:7" ht="43.2">
      <c r="A34" s="42"/>
      <c r="B34" s="4" t="s">
        <v>1</v>
      </c>
      <c r="C34" s="4" t="s">
        <v>2</v>
      </c>
      <c r="D34" s="4" t="s">
        <v>5</v>
      </c>
      <c r="E34" s="4" t="s">
        <v>25</v>
      </c>
      <c r="F34" s="36" t="s">
        <v>26</v>
      </c>
      <c r="G34" s="4" t="s">
        <v>5</v>
      </c>
    </row>
    <row r="35" spans="1:7">
      <c r="A35" s="42"/>
      <c r="B35" s="30">
        <v>1</v>
      </c>
      <c r="C35" s="31">
        <v>0.04</v>
      </c>
      <c r="D35" s="7">
        <f>G16</f>
        <v>0</v>
      </c>
      <c r="E35" s="19">
        <f>C35*D35</f>
        <v>0</v>
      </c>
      <c r="F35" s="42"/>
      <c r="G35" s="42"/>
    </row>
    <row r="36" spans="1:7">
      <c r="A36" s="42"/>
      <c r="B36" s="30">
        <v>12</v>
      </c>
      <c r="C36" s="31">
        <v>1</v>
      </c>
      <c r="D36" s="7">
        <f>+G27+G8</f>
        <v>0</v>
      </c>
      <c r="E36" s="19">
        <f>+(D8-E8-E27)*C36</f>
        <v>0</v>
      </c>
      <c r="F36" s="19">
        <f>+(D8-F8-F27)*C36</f>
        <v>0</v>
      </c>
      <c r="G36" s="19">
        <f>+E36-F36</f>
        <v>0</v>
      </c>
    </row>
    <row r="37" spans="1:7">
      <c r="A37" s="42"/>
      <c r="B37" s="30">
        <v>50</v>
      </c>
      <c r="C37" s="31">
        <v>0.55000000000000004</v>
      </c>
      <c r="D37" s="7">
        <f t="shared" ref="D37:D39" si="6">+G28+G9</f>
        <v>1138.0050000000001</v>
      </c>
      <c r="E37" s="19">
        <f t="shared" ref="E37:E39" si="7">+(D9-E9-E28)*C37</f>
        <v>199.1508749999999</v>
      </c>
      <c r="F37" s="19">
        <f t="shared" ref="F37:F39" si="8">+(D9-F9-F28)*C37</f>
        <v>825.05362500000001</v>
      </c>
      <c r="G37" s="19">
        <f t="shared" ref="G37:G39" si="9">+E37-F37</f>
        <v>-625.90275000000008</v>
      </c>
    </row>
    <row r="38" spans="1:7">
      <c r="A38" s="42"/>
      <c r="B38" s="30">
        <v>8</v>
      </c>
      <c r="C38" s="31">
        <v>0.2</v>
      </c>
      <c r="D38" s="7">
        <f t="shared" si="6"/>
        <v>145.44000000000003</v>
      </c>
      <c r="E38" s="19">
        <f t="shared" si="7"/>
        <v>101.80799999999999</v>
      </c>
      <c r="F38" s="19">
        <f t="shared" si="8"/>
        <v>130.89600000000002</v>
      </c>
      <c r="G38" s="19">
        <f t="shared" si="9"/>
        <v>-29.088000000000022</v>
      </c>
    </row>
    <row r="39" spans="1:7">
      <c r="A39" s="42"/>
      <c r="B39" s="33">
        <v>47</v>
      </c>
      <c r="C39" s="34">
        <v>0.08</v>
      </c>
      <c r="D39" s="8">
        <f t="shared" si="6"/>
        <v>13321.747199999998</v>
      </c>
      <c r="E39" s="20">
        <f t="shared" si="7"/>
        <v>11723.137536000002</v>
      </c>
      <c r="F39" s="20">
        <f t="shared" si="8"/>
        <v>12788.877312000001</v>
      </c>
      <c r="G39" s="20">
        <f t="shared" si="9"/>
        <v>-1065.7397759999985</v>
      </c>
    </row>
    <row r="40" spans="1:7">
      <c r="A40" s="42"/>
      <c r="B40" s="42"/>
      <c r="C40" s="42"/>
      <c r="D40" s="7">
        <f>SUM(D35:D39)</f>
        <v>14605.192199999998</v>
      </c>
      <c r="E40" s="77">
        <f>SUM(E35:E39)</f>
        <v>12024.096411000002</v>
      </c>
      <c r="F40" s="77">
        <f>SUM(F35:F39)</f>
        <v>13744.826937</v>
      </c>
      <c r="G40" s="19">
        <f>+SUM(G35:G39)</f>
        <v>-1720.7305259999987</v>
      </c>
    </row>
  </sheetData>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7828-46F1-4111-ADC1-EA087D002AA7}">
  <dimension ref="A1:H35"/>
  <sheetViews>
    <sheetView workbookViewId="0">
      <selection activeCell="E5" sqref="E5:F5"/>
    </sheetView>
  </sheetViews>
  <sheetFormatPr defaultRowHeight="14.4"/>
  <cols>
    <col min="4" max="4" width="12.44140625" bestFit="1" customWidth="1"/>
    <col min="5" max="5" width="18.109375" bestFit="1" customWidth="1"/>
    <col min="6" max="6" width="17.33203125" bestFit="1" customWidth="1"/>
    <col min="7" max="7" width="10.44140625" bestFit="1" customWidth="1"/>
    <col min="8" max="8" width="13.33203125" bestFit="1" customWidth="1"/>
  </cols>
  <sheetData>
    <row r="1" spans="1:8">
      <c r="A1" s="1" t="str">
        <f>+Summary!A1</f>
        <v>Coopérative Hydro Embrun Inc.</v>
      </c>
    </row>
    <row r="2" spans="1:8">
      <c r="A2" s="1" t="str">
        <f>+Summary!A2</f>
        <v>CCA Calculations - AII</v>
      </c>
    </row>
    <row r="3" spans="1:8">
      <c r="A3" s="2" t="s">
        <v>10</v>
      </c>
    </row>
    <row r="5" spans="1:8" ht="28.8">
      <c r="E5" s="36" t="s">
        <v>49</v>
      </c>
      <c r="F5" s="36" t="s">
        <v>50</v>
      </c>
    </row>
    <row r="6" spans="1:8">
      <c r="B6" s="4" t="s">
        <v>1</v>
      </c>
      <c r="C6" s="4" t="s">
        <v>2</v>
      </c>
      <c r="D6" s="4" t="s">
        <v>12</v>
      </c>
      <c r="E6" s="4" t="s">
        <v>3</v>
      </c>
      <c r="F6" s="4" t="s">
        <v>4</v>
      </c>
      <c r="G6" s="4" t="s">
        <v>5</v>
      </c>
      <c r="H6" s="17"/>
    </row>
    <row r="7" spans="1:8">
      <c r="B7" s="30">
        <v>1</v>
      </c>
      <c r="C7" s="31">
        <v>0.04</v>
      </c>
      <c r="D7" s="32"/>
      <c r="E7" s="32">
        <f>(D7*C7)*1.5</f>
        <v>0</v>
      </c>
      <c r="F7" s="32">
        <f>(D7*C7)*0.5</f>
        <v>0</v>
      </c>
      <c r="G7" s="32">
        <f>E7-F7</f>
        <v>0</v>
      </c>
      <c r="H7" s="17"/>
    </row>
    <row r="8" spans="1:8">
      <c r="B8" s="30">
        <v>12</v>
      </c>
      <c r="C8" s="31">
        <v>1</v>
      </c>
      <c r="D8" s="32">
        <v>1081</v>
      </c>
      <c r="E8" s="32">
        <f>+D8/2</f>
        <v>540.5</v>
      </c>
      <c r="F8" s="32">
        <f>(D8*C8)*0.5</f>
        <v>540.5</v>
      </c>
      <c r="G8" s="32">
        <f t="shared" ref="G8:G11" si="0">E8-F8</f>
        <v>0</v>
      </c>
      <c r="H8" s="17"/>
    </row>
    <row r="9" spans="1:8">
      <c r="B9" s="30">
        <v>50</v>
      </c>
      <c r="C9" s="31">
        <v>0.55000000000000004</v>
      </c>
      <c r="D9" s="32">
        <v>0</v>
      </c>
      <c r="E9" s="32">
        <f t="shared" ref="E9" si="1">(D9*C9)*1.5</f>
        <v>0</v>
      </c>
      <c r="F9" s="32">
        <f t="shared" ref="F9:F11" si="2">(D9*C9)*0.5</f>
        <v>0</v>
      </c>
      <c r="G9" s="32">
        <f t="shared" si="0"/>
        <v>0</v>
      </c>
      <c r="H9" s="17"/>
    </row>
    <row r="10" spans="1:8">
      <c r="B10" s="30">
        <v>8</v>
      </c>
      <c r="C10" s="31">
        <v>0.2</v>
      </c>
      <c r="D10" s="32">
        <v>2772</v>
      </c>
      <c r="E10" s="32">
        <f>(D10*C10)*0.5</f>
        <v>277.2</v>
      </c>
      <c r="F10" s="32">
        <f t="shared" si="2"/>
        <v>277.2</v>
      </c>
      <c r="G10" s="32">
        <f t="shared" si="0"/>
        <v>0</v>
      </c>
      <c r="H10" s="17"/>
    </row>
    <row r="11" spans="1:8">
      <c r="B11" s="33">
        <v>47</v>
      </c>
      <c r="C11" s="34">
        <v>0.08</v>
      </c>
      <c r="D11" s="35">
        <v>73949</v>
      </c>
      <c r="E11" s="35">
        <f>(D11*C11)*0.5</f>
        <v>2957.96</v>
      </c>
      <c r="F11" s="35">
        <f t="shared" si="2"/>
        <v>2957.96</v>
      </c>
      <c r="G11" s="35">
        <f t="shared" si="0"/>
        <v>0</v>
      </c>
      <c r="H11" s="7"/>
    </row>
    <row r="12" spans="1:8">
      <c r="D12" s="7">
        <f>SUM(D7:D11)</f>
        <v>77802</v>
      </c>
      <c r="E12" s="71">
        <f>SUM(E7:E11)</f>
        <v>3775.66</v>
      </c>
      <c r="F12" s="71">
        <f>SUM(F7:F11)</f>
        <v>3775.66</v>
      </c>
      <c r="G12" s="7">
        <f>SUM(G7:G11)</f>
        <v>0</v>
      </c>
    </row>
    <row r="14" spans="1:8">
      <c r="B14" s="12" t="s">
        <v>6</v>
      </c>
    </row>
    <row r="15" spans="1:8">
      <c r="B15" t="s">
        <v>7</v>
      </c>
      <c r="D15" s="18">
        <f>E12</f>
        <v>3775.66</v>
      </c>
    </row>
    <row r="16" spans="1:8">
      <c r="B16" t="s">
        <v>8</v>
      </c>
      <c r="D16" s="25">
        <f>F12</f>
        <v>3775.66</v>
      </c>
    </row>
    <row r="17" spans="2:5">
      <c r="D17" s="18">
        <f>D15-D16</f>
        <v>0</v>
      </c>
    </row>
    <row r="18" spans="2:5">
      <c r="B18" t="s">
        <v>9</v>
      </c>
      <c r="D18" s="9">
        <v>0.26500000000000001</v>
      </c>
    </row>
    <row r="19" spans="2:5" ht="15" thickBot="1">
      <c r="D19" s="11">
        <f>D17*D18</f>
        <v>0</v>
      </c>
      <c r="E19" s="13"/>
    </row>
    <row r="20" spans="2:5" ht="15" thickTop="1"/>
    <row r="22" spans="2:5">
      <c r="B22" s="1" t="s">
        <v>14</v>
      </c>
    </row>
    <row r="23" spans="2:5">
      <c r="C23" s="41" t="s">
        <v>27</v>
      </c>
      <c r="D23" s="38"/>
      <c r="E23" s="39"/>
    </row>
    <row r="24" spans="2:5">
      <c r="D24" s="38"/>
      <c r="E24" s="39"/>
    </row>
    <row r="25" spans="2:5">
      <c r="D25" s="38"/>
      <c r="E25" s="39"/>
    </row>
    <row r="26" spans="2:5">
      <c r="D26" s="40"/>
      <c r="E26" s="39"/>
    </row>
    <row r="27" spans="2:5">
      <c r="D27" s="38"/>
      <c r="E27" s="39"/>
    </row>
    <row r="28" spans="2:5">
      <c r="D28" s="39"/>
      <c r="E28" s="39"/>
    </row>
    <row r="29" spans="2:5">
      <c r="B29" s="1" t="s">
        <v>15</v>
      </c>
      <c r="D29" s="39"/>
      <c r="E29" s="39"/>
    </row>
    <row r="30" spans="2:5">
      <c r="C30" s="41" t="s">
        <v>27</v>
      </c>
      <c r="D30" s="38"/>
      <c r="E30" s="39"/>
    </row>
    <row r="31" spans="2:5">
      <c r="D31" s="38"/>
      <c r="E31" s="39"/>
    </row>
    <row r="32" spans="2:5">
      <c r="D32" s="38"/>
      <c r="E32" s="39"/>
    </row>
    <row r="33" spans="4:5">
      <c r="D33" s="40"/>
      <c r="E33" s="39"/>
    </row>
    <row r="34" spans="4:5">
      <c r="D34" s="38"/>
      <c r="E34" s="39"/>
    </row>
    <row r="35" spans="4:5">
      <c r="D35" s="39"/>
      <c r="E35" s="39"/>
    </row>
  </sheetData>
  <pageMargins left="0.7" right="0.7" top="0.75" bottom="0.75" header="0.3" footer="0.3"/>
  <pageSetup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2021</vt:lpstr>
      <vt:lpstr>2020</vt:lpstr>
      <vt:lpstr>2019</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Crowley</dc:creator>
  <cp:lastModifiedBy>Gascon, Louis-Charles</cp:lastModifiedBy>
  <dcterms:created xsi:type="dcterms:W3CDTF">2020-02-12T15:14:05Z</dcterms:created>
  <dcterms:modified xsi:type="dcterms:W3CDTF">2022-04-27T20:02:08Z</dcterms:modified>
</cp:coreProperties>
</file>